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drawings/drawing8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  <Override PartName="/xl/charts/style9.xml" ContentType="application/vnd.ms-office.chartstyle+xml"/>
  <Override PartName="/xl/charts/colors9.xml" ContentType="application/vnd.ms-office.chartcolor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6"/>
  </bookViews>
  <sheets>
    <sheet name="80oC" sheetId="21" r:id="rId1"/>
    <sheet name="100oC" sheetId="13" r:id="rId2"/>
    <sheet name="120oC" sheetId="20" r:id="rId3"/>
    <sheet name="140oC" sheetId="18" r:id="rId4"/>
    <sheet name="160oC" sheetId="19" r:id="rId5"/>
    <sheet name="180oC" sheetId="17" r:id="rId6"/>
    <sheet name="Summarization" sheetId="22" r:id="rId7"/>
  </sheets>
  <calcPr calcId="145621"/>
</workbook>
</file>

<file path=xl/calcChain.xml><?xml version="1.0" encoding="utf-8"?>
<calcChain xmlns="http://schemas.openxmlformats.org/spreadsheetml/2006/main">
  <c r="B18" i="22" l="1"/>
  <c r="D4" i="22"/>
  <c r="D5" i="22"/>
  <c r="D6" i="22"/>
  <c r="D7" i="22"/>
  <c r="D8" i="22"/>
  <c r="D3" i="22"/>
  <c r="B4" i="22"/>
  <c r="B5" i="22"/>
  <c r="B6" i="22"/>
  <c r="B7" i="22"/>
  <c r="B8" i="22"/>
  <c r="B3" i="22"/>
  <c r="B65" i="19" l="1"/>
  <c r="B67" i="17"/>
  <c r="B66" i="17"/>
  <c r="B65" i="17"/>
  <c r="B64" i="17"/>
  <c r="B63" i="17"/>
  <c r="B67" i="19"/>
  <c r="B66" i="19"/>
  <c r="B64" i="19"/>
  <c r="B63" i="19"/>
  <c r="B67" i="18"/>
  <c r="B66" i="18"/>
  <c r="B65" i="18"/>
  <c r="B64" i="18"/>
  <c r="B63" i="18"/>
  <c r="B67" i="20"/>
  <c r="B66" i="20"/>
  <c r="B65" i="20"/>
  <c r="B64" i="20"/>
  <c r="B63" i="20"/>
  <c r="B67" i="13"/>
  <c r="B66" i="13"/>
  <c r="B65" i="13"/>
  <c r="B64" i="13"/>
  <c r="B63" i="13"/>
  <c r="B69" i="21"/>
  <c r="B68" i="21"/>
  <c r="B67" i="21"/>
  <c r="B66" i="21"/>
  <c r="B65" i="21"/>
  <c r="B64" i="21"/>
  <c r="B63" i="21"/>
  <c r="F63" i="17"/>
  <c r="D63" i="17"/>
  <c r="G63" i="17" s="1"/>
  <c r="F63" i="19"/>
  <c r="D63" i="19"/>
  <c r="G63" i="19" s="1"/>
  <c r="F63" i="18"/>
  <c r="D63" i="18"/>
  <c r="G63" i="18" s="1"/>
  <c r="F63" i="20"/>
  <c r="D63" i="20"/>
  <c r="G63" i="20" s="1"/>
  <c r="F63" i="13"/>
  <c r="D63" i="13"/>
  <c r="G63" i="13" s="1"/>
  <c r="F63" i="21"/>
  <c r="D63" i="21"/>
  <c r="G63" i="21" l="1"/>
  <c r="B46" i="18"/>
  <c r="B49" i="21" l="1"/>
  <c r="F44" i="17"/>
  <c r="D44" i="17"/>
  <c r="G44" i="17" s="1"/>
  <c r="D43" i="19"/>
  <c r="D24" i="17"/>
  <c r="D24" i="19"/>
  <c r="D44" i="20"/>
  <c r="D44" i="13"/>
  <c r="D24" i="20"/>
  <c r="D24" i="13"/>
  <c r="G24" i="13" s="1"/>
  <c r="D24" i="21"/>
  <c r="D43" i="18"/>
  <c r="G43" i="18" s="1"/>
  <c r="F44" i="21"/>
  <c r="D44" i="21"/>
  <c r="G44" i="21" s="1"/>
  <c r="F43" i="18"/>
  <c r="B44" i="18"/>
  <c r="B46" i="17" l="1"/>
  <c r="B44" i="19"/>
  <c r="F43" i="19"/>
  <c r="G43" i="19"/>
  <c r="F44" i="20"/>
  <c r="G44" i="20"/>
  <c r="F44" i="13"/>
  <c r="B48" i="21"/>
  <c r="B46" i="21"/>
  <c r="B44" i="21"/>
  <c r="L41" i="21"/>
  <c r="L40" i="21"/>
  <c r="L39" i="21"/>
  <c r="L38" i="21"/>
  <c r="B47" i="21" s="1"/>
  <c r="L37" i="21"/>
  <c r="L36" i="21"/>
  <c r="B45" i="21" s="1"/>
  <c r="L35" i="21"/>
  <c r="L34" i="21"/>
  <c r="L31" i="21"/>
  <c r="L30" i="21"/>
  <c r="L29" i="21"/>
  <c r="L28" i="21"/>
  <c r="L27" i="21"/>
  <c r="L26" i="21"/>
  <c r="L25" i="21"/>
  <c r="L24" i="21"/>
  <c r="F24" i="21"/>
  <c r="G24" i="21"/>
  <c r="L21" i="21"/>
  <c r="L20" i="21"/>
  <c r="L19" i="21"/>
  <c r="L18" i="21"/>
  <c r="L17" i="21"/>
  <c r="L16" i="21"/>
  <c r="L15" i="21"/>
  <c r="L14" i="21"/>
  <c r="M24" i="21" s="1"/>
  <c r="L11" i="21"/>
  <c r="D11" i="21"/>
  <c r="L10" i="21"/>
  <c r="D10" i="21"/>
  <c r="L9" i="21"/>
  <c r="D9" i="21"/>
  <c r="L8" i="21"/>
  <c r="D8" i="21"/>
  <c r="L7" i="21"/>
  <c r="D7" i="21"/>
  <c r="L6" i="21"/>
  <c r="D6" i="21"/>
  <c r="L5" i="21"/>
  <c r="M35" i="21" s="1"/>
  <c r="D5" i="21"/>
  <c r="L4" i="21"/>
  <c r="D4" i="21"/>
  <c r="F24" i="17"/>
  <c r="F24" i="19"/>
  <c r="F24" i="18"/>
  <c r="F24" i="20"/>
  <c r="F24" i="13"/>
  <c r="L41" i="17"/>
  <c r="L40" i="17"/>
  <c r="L39" i="17"/>
  <c r="B48" i="17" s="1"/>
  <c r="L38" i="17"/>
  <c r="B47" i="17" s="1"/>
  <c r="L37" i="17"/>
  <c r="L36" i="17"/>
  <c r="L35" i="17"/>
  <c r="B44" i="17" s="1"/>
  <c r="L34" i="17"/>
  <c r="L31" i="17"/>
  <c r="L30" i="17"/>
  <c r="L29" i="17"/>
  <c r="L28" i="17"/>
  <c r="L27" i="17"/>
  <c r="L26" i="17"/>
  <c r="L25" i="17"/>
  <c r="L24" i="17"/>
  <c r="L21" i="17"/>
  <c r="L20" i="17"/>
  <c r="L19" i="17"/>
  <c r="L18" i="17"/>
  <c r="L17" i="17"/>
  <c r="L16" i="17"/>
  <c r="L15" i="17"/>
  <c r="L14" i="17"/>
  <c r="L11" i="17"/>
  <c r="L10" i="17"/>
  <c r="L9" i="17"/>
  <c r="L8" i="17"/>
  <c r="L7" i="17"/>
  <c r="L6" i="17"/>
  <c r="L5" i="17"/>
  <c r="L4" i="17"/>
  <c r="D11" i="17"/>
  <c r="D10" i="17"/>
  <c r="D9" i="17"/>
  <c r="D8" i="17"/>
  <c r="D7" i="17"/>
  <c r="D6" i="17"/>
  <c r="D5" i="17"/>
  <c r="D4" i="17"/>
  <c r="L4" i="18"/>
  <c r="L9" i="20"/>
  <c r="L4" i="20"/>
  <c r="D5" i="20"/>
  <c r="L41" i="13"/>
  <c r="L40" i="13"/>
  <c r="L39" i="13"/>
  <c r="B48" i="13" s="1"/>
  <c r="L38" i="13"/>
  <c r="B47" i="13" s="1"/>
  <c r="L37" i="13"/>
  <c r="B46" i="13" s="1"/>
  <c r="L36" i="13"/>
  <c r="B45" i="13" s="1"/>
  <c r="L35" i="13"/>
  <c r="B44" i="13" s="1"/>
  <c r="L34" i="13"/>
  <c r="L31" i="13"/>
  <c r="L30" i="13"/>
  <c r="L29" i="13"/>
  <c r="L28" i="13"/>
  <c r="L27" i="13"/>
  <c r="L26" i="13"/>
  <c r="L25" i="13"/>
  <c r="L24" i="13"/>
  <c r="L21" i="13"/>
  <c r="L20" i="13"/>
  <c r="L19" i="13"/>
  <c r="L18" i="13"/>
  <c r="L17" i="13"/>
  <c r="L16" i="13"/>
  <c r="L15" i="13"/>
  <c r="L14" i="13"/>
  <c r="L11" i="13"/>
  <c r="L10" i="13"/>
  <c r="L9" i="13"/>
  <c r="L8" i="13"/>
  <c r="L7" i="13"/>
  <c r="L6" i="13"/>
  <c r="L5" i="13"/>
  <c r="L4" i="13"/>
  <c r="D11" i="13"/>
  <c r="D10" i="13"/>
  <c r="D9" i="13"/>
  <c r="D8" i="13"/>
  <c r="D7" i="13"/>
  <c r="D6" i="13"/>
  <c r="D5" i="13"/>
  <c r="D4" i="13"/>
  <c r="L41" i="18"/>
  <c r="L40" i="18"/>
  <c r="L39" i="18"/>
  <c r="B47" i="18" s="1"/>
  <c r="L38" i="18"/>
  <c r="L37" i="18"/>
  <c r="L36" i="18"/>
  <c r="L35" i="18"/>
  <c r="B43" i="18" s="1"/>
  <c r="L34" i="18"/>
  <c r="L31" i="18"/>
  <c r="L30" i="18"/>
  <c r="L29" i="18"/>
  <c r="L28" i="18"/>
  <c r="L27" i="18"/>
  <c r="L26" i="18"/>
  <c r="L25" i="18"/>
  <c r="L24" i="18"/>
  <c r="L21" i="18"/>
  <c r="L20" i="18"/>
  <c r="L19" i="18"/>
  <c r="L18" i="18"/>
  <c r="L17" i="18"/>
  <c r="L16" i="18"/>
  <c r="L15" i="18"/>
  <c r="L14" i="18"/>
  <c r="L11" i="18"/>
  <c r="L10" i="18"/>
  <c r="L9" i="18"/>
  <c r="L8" i="18"/>
  <c r="L7" i="18"/>
  <c r="L6" i="18"/>
  <c r="L5" i="18"/>
  <c r="D11" i="18"/>
  <c r="D10" i="18"/>
  <c r="D9" i="18"/>
  <c r="D8" i="18"/>
  <c r="D7" i="18"/>
  <c r="D6" i="18"/>
  <c r="D5" i="18"/>
  <c r="D4" i="18"/>
  <c r="E4" i="18" s="1"/>
  <c r="L41" i="19"/>
  <c r="L40" i="19"/>
  <c r="L39" i="19"/>
  <c r="L38" i="19"/>
  <c r="B46" i="19" s="1"/>
  <c r="L37" i="19"/>
  <c r="B45" i="19" s="1"/>
  <c r="L36" i="19"/>
  <c r="L35" i="19"/>
  <c r="B43" i="19" s="1"/>
  <c r="L34" i="19"/>
  <c r="L31" i="19"/>
  <c r="L30" i="19"/>
  <c r="L29" i="19"/>
  <c r="L28" i="19"/>
  <c r="L27" i="19"/>
  <c r="L26" i="19"/>
  <c r="L25" i="19"/>
  <c r="L24" i="19"/>
  <c r="L21" i="19"/>
  <c r="L20" i="19"/>
  <c r="L19" i="19"/>
  <c r="L18" i="19"/>
  <c r="L17" i="19"/>
  <c r="L16" i="19"/>
  <c r="L15" i="19"/>
  <c r="L14" i="19"/>
  <c r="L11" i="19"/>
  <c r="L10" i="19"/>
  <c r="L9" i="19"/>
  <c r="L8" i="19"/>
  <c r="L7" i="19"/>
  <c r="L6" i="19"/>
  <c r="L5" i="19"/>
  <c r="L4" i="19"/>
  <c r="D11" i="19"/>
  <c r="D10" i="19"/>
  <c r="D9" i="19"/>
  <c r="D8" i="19"/>
  <c r="D7" i="19"/>
  <c r="D6" i="19"/>
  <c r="D5" i="19"/>
  <c r="D4" i="19"/>
  <c r="E4" i="19" s="1"/>
  <c r="L41" i="20"/>
  <c r="L40" i="20"/>
  <c r="L39" i="20"/>
  <c r="B48" i="20" s="1"/>
  <c r="L38" i="20"/>
  <c r="B47" i="20" s="1"/>
  <c r="L37" i="20"/>
  <c r="B46" i="20" s="1"/>
  <c r="L36" i="20"/>
  <c r="L35" i="20"/>
  <c r="B44" i="20" s="1"/>
  <c r="L34" i="20"/>
  <c r="L31" i="20"/>
  <c r="L30" i="20"/>
  <c r="L29" i="20"/>
  <c r="L28" i="20"/>
  <c r="L27" i="20"/>
  <c r="L26" i="20"/>
  <c r="L25" i="20"/>
  <c r="L24" i="20"/>
  <c r="L21" i="20"/>
  <c r="L20" i="20"/>
  <c r="L19" i="20"/>
  <c r="L18" i="20"/>
  <c r="L17" i="20"/>
  <c r="L16" i="20"/>
  <c r="L15" i="20"/>
  <c r="L14" i="20"/>
  <c r="L11" i="20"/>
  <c r="L10" i="20"/>
  <c r="L8" i="20"/>
  <c r="L7" i="20"/>
  <c r="L6" i="20"/>
  <c r="L5" i="20"/>
  <c r="D11" i="20"/>
  <c r="D10" i="20"/>
  <c r="D9" i="20"/>
  <c r="D8" i="20"/>
  <c r="D7" i="20"/>
  <c r="D6" i="20"/>
  <c r="D4" i="20"/>
  <c r="E5" i="20" s="1"/>
  <c r="M15" i="19"/>
  <c r="D24" i="18"/>
  <c r="G24" i="18" s="1"/>
  <c r="M14" i="19" l="1"/>
  <c r="M34" i="21"/>
  <c r="M25" i="21"/>
  <c r="G44" i="13"/>
  <c r="M37" i="21"/>
  <c r="M17" i="21"/>
  <c r="M36" i="21"/>
  <c r="M41" i="21"/>
  <c r="M31" i="21"/>
  <c r="N40" i="21"/>
  <c r="M40" i="21"/>
  <c r="M26" i="21"/>
  <c r="N26" i="21"/>
  <c r="N36" i="21"/>
  <c r="N24" i="21"/>
  <c r="N28" i="21"/>
  <c r="N34" i="21"/>
  <c r="N38" i="21"/>
  <c r="N25" i="21"/>
  <c r="N31" i="21"/>
  <c r="N41" i="21"/>
  <c r="N30" i="21"/>
  <c r="N29" i="21"/>
  <c r="N39" i="21"/>
  <c r="N27" i="21"/>
  <c r="N37" i="21"/>
  <c r="N35" i="21"/>
  <c r="M30" i="21"/>
  <c r="M29" i="21"/>
  <c r="M38" i="21"/>
  <c r="M28" i="21"/>
  <c r="M39" i="21"/>
  <c r="M27" i="21"/>
  <c r="G4" i="21"/>
  <c r="G5" i="21"/>
  <c r="G6" i="21"/>
  <c r="G7" i="21"/>
  <c r="G8" i="21"/>
  <c r="G9" i="21"/>
  <c r="G10" i="21"/>
  <c r="G11" i="21"/>
  <c r="N10" i="21"/>
  <c r="N15" i="21"/>
  <c r="N4" i="21"/>
  <c r="N5" i="21"/>
  <c r="N6" i="21"/>
  <c r="N7" i="21"/>
  <c r="N8" i="21"/>
  <c r="N9" i="21"/>
  <c r="N11" i="21"/>
  <c r="N14" i="21"/>
  <c r="N16" i="21"/>
  <c r="N17" i="21"/>
  <c r="N18" i="21"/>
  <c r="N19" i="21"/>
  <c r="N20" i="21"/>
  <c r="N21" i="21"/>
  <c r="E4" i="21"/>
  <c r="M4" i="21"/>
  <c r="E5" i="21"/>
  <c r="M5" i="21"/>
  <c r="E6" i="21"/>
  <c r="M6" i="21"/>
  <c r="E7" i="21"/>
  <c r="F7" i="21" s="1"/>
  <c r="M7" i="21"/>
  <c r="E8" i="21"/>
  <c r="F8" i="21" s="1"/>
  <c r="M8" i="21"/>
  <c r="E9" i="21"/>
  <c r="M9" i="21"/>
  <c r="E10" i="21"/>
  <c r="F10" i="21" s="1"/>
  <c r="M10" i="21"/>
  <c r="E11" i="21"/>
  <c r="M11" i="21"/>
  <c r="M14" i="21"/>
  <c r="M15" i="21"/>
  <c r="M16" i="21"/>
  <c r="M18" i="21"/>
  <c r="M19" i="21"/>
  <c r="M20" i="21"/>
  <c r="M21" i="21"/>
  <c r="M14" i="13"/>
  <c r="M4" i="18"/>
  <c r="M24" i="18"/>
  <c r="M34" i="18"/>
  <c r="M14" i="18"/>
  <c r="M34" i="19"/>
  <c r="M24" i="19"/>
  <c r="M4" i="19"/>
  <c r="M24" i="20"/>
  <c r="M14" i="20"/>
  <c r="M4" i="20"/>
  <c r="M34" i="20"/>
  <c r="M35" i="19"/>
  <c r="G24" i="19"/>
  <c r="M9" i="19"/>
  <c r="M30" i="20"/>
  <c r="M25" i="19"/>
  <c r="E8" i="19"/>
  <c r="F8" i="19" s="1"/>
  <c r="M39" i="20"/>
  <c r="M9" i="20"/>
  <c r="N7" i="19"/>
  <c r="E6" i="19"/>
  <c r="F6" i="19" s="1"/>
  <c r="M21" i="20"/>
  <c r="M29" i="19"/>
  <c r="G24" i="20"/>
  <c r="M16" i="20"/>
  <c r="M11" i="20"/>
  <c r="M41" i="20"/>
  <c r="M40" i="20"/>
  <c r="M10" i="20"/>
  <c r="N10" i="20"/>
  <c r="M29" i="20"/>
  <c r="M19" i="20"/>
  <c r="M38" i="20"/>
  <c r="M7" i="20"/>
  <c r="M6" i="20"/>
  <c r="M27" i="20"/>
  <c r="M17" i="20"/>
  <c r="M37" i="20"/>
  <c r="M36" i="20"/>
  <c r="M15" i="20"/>
  <c r="M18" i="20"/>
  <c r="M8" i="20"/>
  <c r="M28" i="20"/>
  <c r="M31" i="20"/>
  <c r="M20" i="20"/>
  <c r="M26" i="20"/>
  <c r="M5" i="20"/>
  <c r="M25" i="20"/>
  <c r="M35" i="20"/>
  <c r="E4" i="20"/>
  <c r="F4" i="20" s="1"/>
  <c r="N6" i="20"/>
  <c r="G7" i="20"/>
  <c r="E8" i="20"/>
  <c r="G11" i="20"/>
  <c r="N5" i="20"/>
  <c r="G6" i="20"/>
  <c r="E7" i="20"/>
  <c r="F7" i="20" s="1"/>
  <c r="N9" i="20"/>
  <c r="G10" i="20"/>
  <c r="E11" i="20"/>
  <c r="F11" i="20" s="1"/>
  <c r="N14" i="20"/>
  <c r="N16" i="20"/>
  <c r="N18" i="20"/>
  <c r="N20" i="20"/>
  <c r="N25" i="20"/>
  <c r="N27" i="20"/>
  <c r="N29" i="20"/>
  <c r="N31" i="20"/>
  <c r="N35" i="20"/>
  <c r="N37" i="20"/>
  <c r="N39" i="20"/>
  <c r="N41" i="20"/>
  <c r="G5" i="20"/>
  <c r="E6" i="20"/>
  <c r="N8" i="20"/>
  <c r="G9" i="20"/>
  <c r="E10" i="20"/>
  <c r="G4" i="20"/>
  <c r="F5" i="20"/>
  <c r="N7" i="20"/>
  <c r="G8" i="20"/>
  <c r="E9" i="20"/>
  <c r="F9" i="20" s="1"/>
  <c r="N11" i="20"/>
  <c r="N15" i="20"/>
  <c r="N17" i="20"/>
  <c r="N19" i="20"/>
  <c r="N21" i="20"/>
  <c r="N24" i="20"/>
  <c r="N26" i="20"/>
  <c r="N28" i="20"/>
  <c r="N30" i="20"/>
  <c r="N34" i="20"/>
  <c r="N36" i="20"/>
  <c r="N38" i="20"/>
  <c r="N40" i="20"/>
  <c r="M41" i="19"/>
  <c r="M31" i="19"/>
  <c r="M30" i="19"/>
  <c r="M20" i="19"/>
  <c r="E10" i="19"/>
  <c r="F10" i="19" s="1"/>
  <c r="M28" i="19"/>
  <c r="M27" i="19"/>
  <c r="M26" i="19"/>
  <c r="N9" i="19"/>
  <c r="N5" i="19"/>
  <c r="M11" i="19"/>
  <c r="M21" i="19"/>
  <c r="M10" i="19"/>
  <c r="M40" i="19"/>
  <c r="M19" i="19"/>
  <c r="M39" i="19"/>
  <c r="M8" i="19"/>
  <c r="M38" i="19"/>
  <c r="M18" i="19"/>
  <c r="M7" i="19"/>
  <c r="M37" i="19"/>
  <c r="M17" i="19"/>
  <c r="M36" i="19"/>
  <c r="M6" i="19"/>
  <c r="M16" i="19"/>
  <c r="M5" i="19"/>
  <c r="N41" i="19"/>
  <c r="E5" i="19"/>
  <c r="N6" i="19"/>
  <c r="E9" i="19"/>
  <c r="F9" i="19" s="1"/>
  <c r="N10" i="19"/>
  <c r="N4" i="19"/>
  <c r="O4" i="19" s="1"/>
  <c r="E7" i="19"/>
  <c r="O7" i="19" s="1"/>
  <c r="N8" i="19"/>
  <c r="O8" i="19" s="1"/>
  <c r="E11" i="19"/>
  <c r="M21" i="18"/>
  <c r="M10" i="18"/>
  <c r="M9" i="18"/>
  <c r="M8" i="18"/>
  <c r="M17" i="18"/>
  <c r="M5" i="18"/>
  <c r="M6" i="18"/>
  <c r="M7" i="18"/>
  <c r="N4" i="20"/>
  <c r="F4" i="19"/>
  <c r="N11" i="19"/>
  <c r="N14" i="19"/>
  <c r="O14" i="19" s="1"/>
  <c r="N15" i="19"/>
  <c r="N16" i="19"/>
  <c r="N17" i="19"/>
  <c r="N18" i="19"/>
  <c r="N19" i="19"/>
  <c r="N20" i="19"/>
  <c r="N21" i="19"/>
  <c r="N24" i="19"/>
  <c r="O24" i="19" s="1"/>
  <c r="N25" i="19"/>
  <c r="N26" i="19"/>
  <c r="N27" i="19"/>
  <c r="N28" i="19"/>
  <c r="N29" i="19"/>
  <c r="N30" i="19"/>
  <c r="N31" i="19"/>
  <c r="N34" i="19"/>
  <c r="O34" i="19" s="1"/>
  <c r="N35" i="19"/>
  <c r="N36" i="19"/>
  <c r="N37" i="19"/>
  <c r="N38" i="19"/>
  <c r="N39" i="19"/>
  <c r="N40" i="19"/>
  <c r="G4" i="19"/>
  <c r="G5" i="19"/>
  <c r="G6" i="19"/>
  <c r="G7" i="19"/>
  <c r="G8" i="19"/>
  <c r="G9" i="19"/>
  <c r="G10" i="19"/>
  <c r="G11" i="19"/>
  <c r="M15" i="18"/>
  <c r="M35" i="18"/>
  <c r="M25" i="18"/>
  <c r="E8" i="18"/>
  <c r="F8" i="18" s="1"/>
  <c r="E7" i="18"/>
  <c r="F7" i="18" s="1"/>
  <c r="E10" i="18"/>
  <c r="F10" i="18" s="1"/>
  <c r="E6" i="18"/>
  <c r="F6" i="18" s="1"/>
  <c r="E11" i="18"/>
  <c r="F11" i="18" s="1"/>
  <c r="E5" i="18"/>
  <c r="M11" i="18"/>
  <c r="M31" i="18"/>
  <c r="N40" i="18"/>
  <c r="M29" i="18"/>
  <c r="M19" i="18"/>
  <c r="M39" i="18"/>
  <c r="M41" i="18"/>
  <c r="M20" i="18"/>
  <c r="M40" i="18"/>
  <c r="M30" i="18"/>
  <c r="M18" i="18"/>
  <c r="M28" i="18"/>
  <c r="M38" i="18"/>
  <c r="M27" i="18"/>
  <c r="M37" i="18"/>
  <c r="M26" i="18"/>
  <c r="M16" i="18"/>
  <c r="M36" i="18"/>
  <c r="F4" i="18"/>
  <c r="N4" i="18"/>
  <c r="O4" i="18" s="1"/>
  <c r="G6" i="18"/>
  <c r="E9" i="18"/>
  <c r="F9" i="18" s="1"/>
  <c r="G5" i="18"/>
  <c r="G4" i="18"/>
  <c r="N6" i="18"/>
  <c r="N5" i="18"/>
  <c r="G7" i="18"/>
  <c r="G8" i="18"/>
  <c r="G9" i="18"/>
  <c r="G10" i="18"/>
  <c r="G11" i="18"/>
  <c r="N7" i="18"/>
  <c r="N8" i="18"/>
  <c r="N9" i="18"/>
  <c r="N10" i="18"/>
  <c r="N11" i="18"/>
  <c r="N14" i="18"/>
  <c r="N15" i="18"/>
  <c r="N16" i="18"/>
  <c r="N17" i="18"/>
  <c r="N18" i="18"/>
  <c r="N19" i="18"/>
  <c r="N20" i="18"/>
  <c r="N21" i="18"/>
  <c r="N24" i="18"/>
  <c r="O24" i="18" s="1"/>
  <c r="N25" i="18"/>
  <c r="N26" i="18"/>
  <c r="N27" i="18"/>
  <c r="N28" i="18"/>
  <c r="N29" i="18"/>
  <c r="N30" i="18"/>
  <c r="N31" i="18"/>
  <c r="N34" i="18"/>
  <c r="O34" i="18" s="1"/>
  <c r="N35" i="18"/>
  <c r="N36" i="18"/>
  <c r="N37" i="18"/>
  <c r="N38" i="18"/>
  <c r="N39" i="18"/>
  <c r="N41" i="18"/>
  <c r="M4" i="17"/>
  <c r="M5" i="13"/>
  <c r="M24" i="13"/>
  <c r="M4" i="13"/>
  <c r="M34" i="13"/>
  <c r="O41" i="21" l="1"/>
  <c r="O31" i="21"/>
  <c r="O21" i="21"/>
  <c r="O11" i="21"/>
  <c r="O39" i="21"/>
  <c r="O29" i="21"/>
  <c r="O19" i="21"/>
  <c r="O9" i="21"/>
  <c r="O35" i="21"/>
  <c r="O25" i="21"/>
  <c r="O15" i="21"/>
  <c r="O5" i="21"/>
  <c r="F5" i="21"/>
  <c r="F11" i="21"/>
  <c r="O36" i="21"/>
  <c r="O26" i="21"/>
  <c r="O16" i="21"/>
  <c r="O6" i="21"/>
  <c r="O40" i="21"/>
  <c r="O30" i="21"/>
  <c r="O20" i="21"/>
  <c r="O10" i="21"/>
  <c r="O38" i="21"/>
  <c r="O28" i="21"/>
  <c r="O18" i="21"/>
  <c r="O8" i="21"/>
  <c r="O24" i="21"/>
  <c r="O34" i="21"/>
  <c r="O14" i="21"/>
  <c r="O4" i="21"/>
  <c r="F9" i="21"/>
  <c r="F4" i="21"/>
  <c r="M42" i="21"/>
  <c r="F6" i="21"/>
  <c r="O27" i="21"/>
  <c r="O37" i="21"/>
  <c r="O17" i="21"/>
  <c r="O7" i="21"/>
  <c r="O24" i="20"/>
  <c r="M42" i="13"/>
  <c r="M42" i="18"/>
  <c r="M42" i="19"/>
  <c r="M42" i="20"/>
  <c r="O38" i="19"/>
  <c r="O28" i="19"/>
  <c r="O18" i="19"/>
  <c r="O40" i="19"/>
  <c r="O30" i="19"/>
  <c r="O20" i="19"/>
  <c r="O41" i="20"/>
  <c r="O41" i="19"/>
  <c r="O10" i="19"/>
  <c r="O16" i="20"/>
  <c r="O6" i="19"/>
  <c r="O36" i="19"/>
  <c r="O26" i="19"/>
  <c r="O16" i="19"/>
  <c r="O37" i="19"/>
  <c r="O9" i="19"/>
  <c r="O39" i="19"/>
  <c r="O29" i="19"/>
  <c r="O19" i="19"/>
  <c r="O39" i="20"/>
  <c r="O4" i="20"/>
  <c r="O34" i="20"/>
  <c r="F6" i="20"/>
  <c r="O10" i="20"/>
  <c r="O14" i="20"/>
  <c r="O36" i="20"/>
  <c r="O26" i="20"/>
  <c r="O25" i="20"/>
  <c r="O35" i="20"/>
  <c r="O38" i="20"/>
  <c r="O40" i="20"/>
  <c r="O28" i="20"/>
  <c r="F8" i="20"/>
  <c r="O37" i="20"/>
  <c r="O27" i="20"/>
  <c r="O30" i="20"/>
  <c r="F10" i="20"/>
  <c r="O18" i="20"/>
  <c r="O7" i="20"/>
  <c r="O20" i="20"/>
  <c r="O29" i="20"/>
  <c r="O21" i="20"/>
  <c r="O17" i="20"/>
  <c r="O19" i="20"/>
  <c r="O9" i="20"/>
  <c r="O6" i="20"/>
  <c r="O31" i="20"/>
  <c r="O11" i="20"/>
  <c r="O15" i="20"/>
  <c r="O8" i="20"/>
  <c r="O5" i="20"/>
  <c r="O5" i="19"/>
  <c r="F5" i="19"/>
  <c r="O11" i="19"/>
  <c r="O31" i="19"/>
  <c r="O21" i="19"/>
  <c r="F11" i="19"/>
  <c r="O17" i="19"/>
  <c r="F7" i="19"/>
  <c r="O15" i="19"/>
  <c r="O35" i="19"/>
  <c r="O25" i="19"/>
  <c r="O27" i="19"/>
  <c r="O7" i="18"/>
  <c r="O20" i="18"/>
  <c r="O10" i="18"/>
  <c r="O40" i="18"/>
  <c r="O19" i="18"/>
  <c r="O41" i="18"/>
  <c r="O30" i="18"/>
  <c r="M31" i="13"/>
  <c r="M19" i="13"/>
  <c r="M21" i="13"/>
  <c r="M30" i="13"/>
  <c r="M20" i="13"/>
  <c r="M9" i="13"/>
  <c r="M39" i="13"/>
  <c r="M29" i="13"/>
  <c r="M28" i="13"/>
  <c r="M18" i="13"/>
  <c r="M27" i="13"/>
  <c r="M17" i="13"/>
  <c r="M26" i="13"/>
  <c r="M16" i="13"/>
  <c r="M25" i="13"/>
  <c r="M15" i="13"/>
  <c r="M35" i="13"/>
  <c r="O21" i="18"/>
  <c r="O36" i="18"/>
  <c r="O26" i="18"/>
  <c r="O15" i="18"/>
  <c r="O5" i="18"/>
  <c r="F5" i="18"/>
  <c r="O8" i="18"/>
  <c r="O38" i="18"/>
  <c r="O28" i="18"/>
  <c r="E4" i="13"/>
  <c r="E6" i="13"/>
  <c r="E5" i="13"/>
  <c r="F5" i="13" s="1"/>
  <c r="O9" i="18"/>
  <c r="O6" i="18"/>
  <c r="O39" i="18"/>
  <c r="O29" i="18"/>
  <c r="O16" i="18"/>
  <c r="O31" i="18"/>
  <c r="O37" i="18"/>
  <c r="O27" i="18"/>
  <c r="O17" i="18"/>
  <c r="O11" i="18"/>
  <c r="O35" i="18"/>
  <c r="O25" i="18"/>
  <c r="O18" i="18"/>
  <c r="O14" i="18"/>
  <c r="M11" i="13"/>
  <c r="M41" i="13"/>
  <c r="M10" i="13"/>
  <c r="M40" i="13"/>
  <c r="M8" i="13"/>
  <c r="M38" i="13"/>
  <c r="M7" i="13"/>
  <c r="M37" i="13"/>
  <c r="M6" i="13"/>
  <c r="M36" i="13"/>
  <c r="N41" i="13"/>
  <c r="G4" i="13"/>
  <c r="G8" i="13"/>
  <c r="E9" i="13"/>
  <c r="F9" i="13" s="1"/>
  <c r="N15" i="13"/>
  <c r="N17" i="13"/>
  <c r="N19" i="13"/>
  <c r="G7" i="13"/>
  <c r="E8" i="13"/>
  <c r="F8" i="13" s="1"/>
  <c r="G11" i="13"/>
  <c r="G6" i="13"/>
  <c r="E7" i="13"/>
  <c r="F7" i="13" s="1"/>
  <c r="G10" i="13"/>
  <c r="E11" i="13"/>
  <c r="F11" i="13" s="1"/>
  <c r="N14" i="13"/>
  <c r="N16" i="13"/>
  <c r="N18" i="13"/>
  <c r="N20" i="13"/>
  <c r="G5" i="13"/>
  <c r="G9" i="13"/>
  <c r="E10" i="13"/>
  <c r="F10" i="13" s="1"/>
  <c r="N21" i="13"/>
  <c r="N4" i="13"/>
  <c r="N5" i="13"/>
  <c r="N6" i="13"/>
  <c r="N7" i="13"/>
  <c r="N8" i="13"/>
  <c r="N9" i="13"/>
  <c r="N10" i="13"/>
  <c r="N11" i="13"/>
  <c r="N24" i="13"/>
  <c r="N25" i="13"/>
  <c r="N26" i="13"/>
  <c r="N27" i="13"/>
  <c r="N28" i="13"/>
  <c r="N29" i="13"/>
  <c r="N30" i="13"/>
  <c r="N31" i="13"/>
  <c r="N34" i="13"/>
  <c r="N35" i="13"/>
  <c r="N36" i="13"/>
  <c r="N37" i="13"/>
  <c r="N38" i="13"/>
  <c r="N39" i="13"/>
  <c r="N40" i="13"/>
  <c r="N4" i="17"/>
  <c r="G24" i="17"/>
  <c r="O37" i="13" l="1"/>
  <c r="O38" i="13"/>
  <c r="O16" i="13"/>
  <c r="N34" i="17"/>
  <c r="O17" i="13"/>
  <c r="O28" i="13"/>
  <c r="O14" i="13"/>
  <c r="O8" i="13"/>
  <c r="O18" i="13"/>
  <c r="O27" i="13"/>
  <c r="O7" i="13"/>
  <c r="O40" i="13"/>
  <c r="O30" i="13"/>
  <c r="O11" i="13"/>
  <c r="O9" i="13"/>
  <c r="O21" i="13"/>
  <c r="O36" i="13"/>
  <c r="O26" i="13"/>
  <c r="F6" i="13"/>
  <c r="O6" i="13"/>
  <c r="O5" i="13"/>
  <c r="F4" i="13"/>
  <c r="O34" i="13"/>
  <c r="O24" i="13"/>
  <c r="O10" i="13"/>
  <c r="O4" i="13"/>
  <c r="O41" i="13"/>
  <c r="O20" i="13"/>
  <c r="O31" i="13"/>
  <c r="O39" i="13"/>
  <c r="O35" i="13"/>
  <c r="O29" i="13"/>
  <c r="O25" i="13"/>
  <c r="O19" i="13"/>
  <c r="O15" i="13"/>
  <c r="M14" i="17"/>
  <c r="N14" i="17"/>
  <c r="M20" i="17"/>
  <c r="M5" i="17"/>
  <c r="M41" i="17"/>
  <c r="N24" i="17"/>
  <c r="N10" i="17"/>
  <c r="N9" i="17"/>
  <c r="N18" i="17"/>
  <c r="N7" i="17"/>
  <c r="M19" i="17" l="1"/>
  <c r="M18" i="17"/>
  <c r="M17" i="17"/>
  <c r="M25" i="17"/>
  <c r="M26" i="17"/>
  <c r="M36" i="17"/>
  <c r="N36" i="17"/>
  <c r="N16" i="17"/>
  <c r="M16" i="17"/>
  <c r="M6" i="17"/>
  <c r="M21" i="17"/>
  <c r="M31" i="17"/>
  <c r="N31" i="17"/>
  <c r="M11" i="17"/>
  <c r="N11" i="17"/>
  <c r="G11" i="17"/>
  <c r="N41" i="17"/>
  <c r="N21" i="17"/>
  <c r="N30" i="17"/>
  <c r="N40" i="17"/>
  <c r="N20" i="17"/>
  <c r="N19" i="17"/>
  <c r="N39" i="17"/>
  <c r="N8" i="17"/>
  <c r="N28" i="17"/>
  <c r="N38" i="17"/>
  <c r="N37" i="17"/>
  <c r="N17" i="17"/>
  <c r="N27" i="17"/>
  <c r="G7" i="17"/>
  <c r="G10" i="17"/>
  <c r="M10" i="17"/>
  <c r="M30" i="17"/>
  <c r="M40" i="17"/>
  <c r="N29" i="17"/>
  <c r="M29" i="17"/>
  <c r="M9" i="17"/>
  <c r="M39" i="17"/>
  <c r="G9" i="17"/>
  <c r="G8" i="17"/>
  <c r="M8" i="17"/>
  <c r="M28" i="17"/>
  <c r="M38" i="17"/>
  <c r="M37" i="17"/>
  <c r="M27" i="17"/>
  <c r="M15" i="17"/>
  <c r="M35" i="17"/>
  <c r="G4" i="17"/>
  <c r="M34" i="17"/>
  <c r="M24" i="17"/>
  <c r="M42" i="17" s="1"/>
  <c r="N26" i="17"/>
  <c r="N6" i="17"/>
  <c r="G6" i="17"/>
  <c r="N35" i="17"/>
  <c r="N15" i="17"/>
  <c r="N5" i="17"/>
  <c r="N25" i="17"/>
  <c r="G5" i="17"/>
  <c r="E5" i="17"/>
  <c r="M7" i="17"/>
  <c r="E4" i="17"/>
  <c r="E6" i="17"/>
  <c r="E7" i="17"/>
  <c r="E8" i="17"/>
  <c r="E9" i="17"/>
  <c r="E10" i="17"/>
  <c r="E11" i="17"/>
  <c r="F9" i="17" l="1"/>
  <c r="O39" i="17"/>
  <c r="O9" i="17"/>
  <c r="O29" i="17"/>
  <c r="O19" i="17"/>
  <c r="F6" i="17"/>
  <c r="O16" i="17"/>
  <c r="O6" i="17"/>
  <c r="O36" i="17"/>
  <c r="O26" i="17"/>
  <c r="O21" i="17"/>
  <c r="F11" i="17"/>
  <c r="O41" i="17"/>
  <c r="O31" i="17"/>
  <c r="O11" i="17"/>
  <c r="O27" i="17"/>
  <c r="O17" i="17"/>
  <c r="O7" i="17"/>
  <c r="F7" i="17"/>
  <c r="O37" i="17"/>
  <c r="O15" i="17"/>
  <c r="O5" i="17"/>
  <c r="O35" i="17"/>
  <c r="F5" i="17"/>
  <c r="O25" i="17"/>
  <c r="F4" i="17"/>
  <c r="O34" i="17"/>
  <c r="O24" i="17"/>
  <c r="O4" i="17"/>
  <c r="O14" i="17"/>
  <c r="F10" i="17"/>
  <c r="O40" i="17"/>
  <c r="O30" i="17"/>
  <c r="O10" i="17"/>
  <c r="O20" i="17"/>
  <c r="O28" i="17"/>
  <c r="O18" i="17"/>
  <c r="F8" i="17"/>
  <c r="O38" i="17"/>
  <c r="O8" i="17"/>
</calcChain>
</file>

<file path=xl/sharedStrings.xml><?xml version="1.0" encoding="utf-8"?>
<sst xmlns="http://schemas.openxmlformats.org/spreadsheetml/2006/main" count="784" uniqueCount="111">
  <si>
    <t>Glucose</t>
  </si>
  <si>
    <t>Time</t>
  </si>
  <si>
    <t>Reaction conditions</t>
  </si>
  <si>
    <t>Peak Area</t>
  </si>
  <si>
    <t>(mmol)</t>
  </si>
  <si>
    <t xml:space="preserve"> t=i (mmol)</t>
  </si>
  <si>
    <t>(%)</t>
  </si>
  <si>
    <t>(C produced)/(C converted)</t>
  </si>
  <si>
    <t>(Carbon out)/(Carbon in)</t>
  </si>
  <si>
    <t>Fructose</t>
  </si>
  <si>
    <t>Fructose Produced</t>
  </si>
  <si>
    <t>Fructose Selectivity</t>
  </si>
  <si>
    <t xml:space="preserve"> (mmol)</t>
  </si>
  <si>
    <t xml:space="preserve">(Relative)  (%) </t>
  </si>
  <si>
    <t xml:space="preserve"> (%)</t>
  </si>
  <si>
    <t>Sorbitol</t>
  </si>
  <si>
    <t>Initial Sorbitol</t>
  </si>
  <si>
    <t>Sorbitol Produced</t>
  </si>
  <si>
    <t>Sorbitol Selectivity</t>
  </si>
  <si>
    <t xml:space="preserve">Sorbitol Selectivity </t>
  </si>
  <si>
    <t xml:space="preserve">Sorbitol Yield </t>
  </si>
  <si>
    <t>Mannitol</t>
  </si>
  <si>
    <t>Initial Mannitol</t>
  </si>
  <si>
    <t>Mannitol Produced</t>
  </si>
  <si>
    <t>Mannitol Selectivity</t>
  </si>
  <si>
    <t xml:space="preserve">Mannitol Selectivity </t>
  </si>
  <si>
    <t xml:space="preserve">Mannitol Yield </t>
  </si>
  <si>
    <t>Mannose</t>
  </si>
  <si>
    <t>Initial Mannose</t>
  </si>
  <si>
    <t>Mannose Yield</t>
  </si>
  <si>
    <t>(Relative) (%)</t>
  </si>
  <si>
    <t>Check</t>
  </si>
  <si>
    <t xml:space="preserve">Mannose Produced </t>
  </si>
  <si>
    <t>Initial</t>
  </si>
  <si>
    <t xml:space="preserve"> (min)</t>
  </si>
  <si>
    <t>Products</t>
  </si>
  <si>
    <t>Reactant</t>
  </si>
  <si>
    <t>Pressure (P)</t>
  </si>
  <si>
    <t>Temperature (T)</t>
  </si>
  <si>
    <t>Initial Glu</t>
  </si>
  <si>
    <t xml:space="preserve">Glu Unreacted </t>
  </si>
  <si>
    <t>Glu Conv.</t>
  </si>
  <si>
    <t>Carbon Mass Balance (I)</t>
  </si>
  <si>
    <t>Carbon Mass Balance (II)</t>
  </si>
  <si>
    <t>Mannose Sele.</t>
  </si>
  <si>
    <t>Factors</t>
  </si>
  <si>
    <t>Value</t>
  </si>
  <si>
    <t>Catalysts</t>
  </si>
  <si>
    <t>Solvent (V)</t>
  </si>
  <si>
    <t>Stirring speed</t>
  </si>
  <si>
    <t>0.2 g</t>
  </si>
  <si>
    <t>1.0 g</t>
  </si>
  <si>
    <t>Name</t>
  </si>
  <si>
    <t>D-glucose</t>
  </si>
  <si>
    <t>Atmosphere</t>
  </si>
  <si>
    <t>40 ml</t>
  </si>
  <si>
    <t>900 rpm</t>
  </si>
  <si>
    <t>Time (h)</t>
  </si>
  <si>
    <r>
      <t>H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</si>
  <si>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N</t>
    </r>
    <r>
      <rPr>
        <vertAlign val="subscript"/>
        <sz val="11"/>
        <color theme="1"/>
        <rFont val="Times New Roman"/>
        <family val="1"/>
      </rPr>
      <t>2</t>
    </r>
  </si>
  <si>
    <t>Conv.</t>
  </si>
  <si>
    <t>Gradient</t>
  </si>
  <si>
    <t>Initial Reaction Rate</t>
  </si>
  <si>
    <t>Initial Fructose</t>
  </si>
  <si>
    <t xml:space="preserve">Fructose Selectivity </t>
  </si>
  <si>
    <t xml:space="preserve">Fructose Yield </t>
  </si>
  <si>
    <t>Others</t>
  </si>
  <si>
    <t xml:space="preserve">Fructose Sele. </t>
  </si>
  <si>
    <t>Mannitol Sele.</t>
  </si>
  <si>
    <t>40 bar</t>
  </si>
  <si>
    <r>
      <t>H</t>
    </r>
    <r>
      <rPr>
        <vertAlign val="subscript"/>
        <sz val="11"/>
        <color theme="1"/>
        <rFont val="Times New Roman"/>
        <family val="1"/>
      </rPr>
      <t>2</t>
    </r>
  </si>
  <si>
    <t>5%Pt/SBA-15</t>
  </si>
  <si>
    <t>1 atm</t>
  </si>
  <si>
    <r>
      <t xml:space="preserve">100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</si>
  <si>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r>
      <t xml:space="preserve">120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</si>
  <si>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r>
      <t xml:space="preserve">140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</si>
  <si>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r>
      <t xml:space="preserve">160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</si>
  <si>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r>
      <t xml:space="preserve">180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</si>
  <si>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r>
      <t xml:space="preserve">60 </t>
    </r>
    <r>
      <rPr>
        <i/>
        <vertAlign val="superscript"/>
        <sz val="11"/>
        <color theme="1"/>
        <rFont val="Times New Roman"/>
        <family val="1"/>
      </rPr>
      <t>o</t>
    </r>
    <r>
      <rPr>
        <i/>
        <sz val="11"/>
        <color theme="1"/>
        <rFont val="Times New Roman"/>
        <family val="1"/>
      </rPr>
      <t>C</t>
    </r>
  </si>
  <si>
    <t>Sorbitol production Rate</t>
  </si>
  <si>
    <t>Initial rate (mmol/h)</t>
  </si>
  <si>
    <t>Pt loading (wt%)</t>
  </si>
  <si>
    <t>Pt used (g)</t>
  </si>
  <si>
    <r>
      <t>Activity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</si>
  <si>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Productivity [mmol/(g</t>
    </r>
    <r>
      <rPr>
        <vertAlign val="subscript"/>
        <sz val="11"/>
        <rFont val="Times New Roman"/>
        <family val="1"/>
      </rPr>
      <t>Pt</t>
    </r>
    <r>
      <rPr>
        <sz val="11"/>
        <rFont val="Times New Roman"/>
        <family val="1"/>
      </rPr>
      <t>h)]</t>
    </r>
  </si>
  <si>
    <r>
      <t>Activity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</si>
  <si>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r>
      <t>Productivity (mmol.g</t>
    </r>
    <r>
      <rPr>
        <vertAlign val="subscript"/>
        <sz val="11"/>
        <color rgb="FFC00000"/>
        <rFont val="Calibri"/>
        <family val="2"/>
        <scheme val="minor"/>
      </rPr>
      <t>Pt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.h</t>
    </r>
    <r>
      <rPr>
        <vertAlign val="superscript"/>
        <sz val="11"/>
        <color rgb="FFC00000"/>
        <rFont val="Calibri"/>
        <family val="2"/>
        <scheme val="minor"/>
      </rPr>
      <t>-1</t>
    </r>
    <r>
      <rPr>
        <sz val="11"/>
        <color rgb="FFC00000"/>
        <rFont val="Calibri"/>
        <family val="2"/>
        <scheme val="minor"/>
      </rPr>
      <t>)</t>
    </r>
  </si>
  <si>
    <t>Final glucose conversion at 4 h (%)</t>
  </si>
  <si>
    <t>Final fructose selectivity at 4 h (%)</t>
  </si>
  <si>
    <t>Final fructose yield at 4 h (%)</t>
  </si>
  <si>
    <t>Final sorbitol selectivity at 4 h (%)</t>
  </si>
  <si>
    <t>Final sorbitol yield at 4 h (%)</t>
  </si>
  <si>
    <t>Final mannitol selectivity at 4 h (%)</t>
  </si>
  <si>
    <t>Final mannitol yield at 4 h (%)</t>
  </si>
  <si>
    <t>mass balance at 1 h (%)</t>
  </si>
  <si>
    <t>mass balance at 4 h (%)</t>
  </si>
  <si>
    <t>Temperature (oC)</t>
  </si>
  <si>
    <t>Prod.</t>
  </si>
  <si>
    <t>Fructose production Rate</t>
  </si>
  <si>
    <r>
      <t>Fructose formation (mmol.</t>
    </r>
    <r>
      <rPr>
        <sz val="11"/>
        <rFont val="Calibri"/>
        <family val="2"/>
        <scheme val="minor"/>
      </rPr>
      <t>h</t>
    </r>
    <r>
      <rPr>
        <vertAlign val="superscript"/>
        <sz val="11"/>
        <rFont val="Calibri"/>
        <family val="2"/>
        <scheme val="minor"/>
      </rPr>
      <t>-1</t>
    </r>
    <r>
      <rPr>
        <sz val="11"/>
        <rFont val="Calibri"/>
        <family val="2"/>
        <scheme val="minor"/>
      </rPr>
      <t>)</t>
    </r>
  </si>
  <si>
    <t>sorbitol formation rate / mmol/h</t>
  </si>
  <si>
    <t>sorbitol sel @1.5%conv</t>
  </si>
  <si>
    <t>fructose selectivity @1.5% conv</t>
  </si>
  <si>
    <t xml:space="preserve">Fructose </t>
  </si>
  <si>
    <t>relative sorbitol</t>
  </si>
  <si>
    <t>relative fructose</t>
  </si>
  <si>
    <t>relative manitol</t>
  </si>
  <si>
    <t>ln rate</t>
  </si>
  <si>
    <t>1/T(K)</t>
  </si>
  <si>
    <t>Glucose conversion rate (mmol/h)</t>
  </si>
  <si>
    <t>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</si>
</sst>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CC"/>
      <name val="Times New Roman"/>
      <family val="1"/>
    </font>
    <font>
      <b/>
      <sz val="16"/>
      <color theme="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bscript"/>
      <sz val="11"/>
      <color rgb="FFC00000"/>
      <name val="Calibri"/>
      <family val="2"/>
      <scheme val="minor"/>
    </font>
    <font>
      <vertAlign val="superscript"/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CC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2" fillId="0" borderId="0" xfId="0" applyNumberFormat="1" applyFont="1"/>
    <xf numFmtId="0" fontId="6" fillId="3" borderId="0" xfId="0" applyFont="1" applyFill="1"/>
    <xf numFmtId="0" fontId="5" fillId="3" borderId="0" xfId="0" applyFont="1" applyFill="1"/>
    <xf numFmtId="0" fontId="6" fillId="4" borderId="0" xfId="0" applyFont="1" applyFill="1"/>
    <xf numFmtId="0" fontId="5" fillId="4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2" borderId="0" xfId="0" applyFont="1" applyFill="1" applyAlignment="1"/>
    <xf numFmtId="0" fontId="8" fillId="0" borderId="0" xfId="0" applyFont="1" applyFill="1"/>
    <xf numFmtId="0" fontId="9" fillId="0" borderId="0" xfId="0" applyFont="1" applyFill="1"/>
    <xf numFmtId="0" fontId="11" fillId="0" borderId="0" xfId="0" applyFont="1"/>
    <xf numFmtId="0" fontId="6" fillId="5" borderId="0" xfId="0" applyFont="1" applyFill="1"/>
    <xf numFmtId="0" fontId="5" fillId="5" borderId="0" xfId="0" applyFont="1" applyFill="1"/>
    <xf numFmtId="0" fontId="6" fillId="6" borderId="0" xfId="0" applyFont="1" applyFill="1"/>
    <xf numFmtId="0" fontId="5" fillId="6" borderId="0" xfId="0" applyFont="1" applyFill="1"/>
    <xf numFmtId="0" fontId="2" fillId="7" borderId="0" xfId="0" applyNumberFormat="1" applyFont="1" applyFill="1"/>
    <xf numFmtId="0" fontId="2" fillId="7" borderId="0" xfId="0" applyFont="1" applyFill="1"/>
    <xf numFmtId="0" fontId="0" fillId="0" borderId="0" xfId="0" applyAlignment="1">
      <alignment wrapText="1"/>
    </xf>
    <xf numFmtId="0" fontId="14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4" fillId="0" borderId="0" xfId="0" applyFont="1"/>
    <xf numFmtId="0" fontId="17" fillId="0" borderId="0" xfId="0" applyFont="1"/>
    <xf numFmtId="0" fontId="13" fillId="0" borderId="0" xfId="0" applyFont="1"/>
    <xf numFmtId="0" fontId="18" fillId="0" borderId="0" xfId="0" applyFont="1"/>
    <xf numFmtId="0" fontId="0" fillId="0" borderId="0" xfId="0" applyFont="1"/>
    <xf numFmtId="0" fontId="8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3" Type="http://schemas.microsoft.com/office/2011/relationships/chartStyle" Target="style7.xml"/><Relationship Id="rId2" Type="http://schemas.microsoft.com/office/2011/relationships/chartColorStyle" Target="colors7.xml"/><Relationship Id="rId1" Type="http://schemas.openxmlformats.org/officeDocument/2006/relationships/chartUserShapes" Target="../drawings/drawing8.xml"/></Relationships>
</file>

<file path=xl/charts/_rels/chart19.xml.rels><?xml version="1.0" encoding="UTF-8" standalone="yes"?>
<Relationships xmlns="http://schemas.openxmlformats.org/package/2006/relationships"><Relationship Id="rId3" Type="http://schemas.microsoft.com/office/2011/relationships/chartStyle" Target="style8.xml"/><Relationship Id="rId2" Type="http://schemas.microsoft.com/office/2011/relationships/chartColorStyle" Target="colors8.xml"/></Relationships>
</file>

<file path=xl/charts/_rels/chart20.xml.rels><?xml version="1.0" encoding="UTF-8" standalone="yes"?>
<Relationships xmlns="http://schemas.openxmlformats.org/package/2006/relationships"><Relationship Id="rId3" Type="http://schemas.microsoft.com/office/2011/relationships/chartStyle" Target="style9.xml"/><Relationship Id="rId2" Type="http://schemas.microsoft.com/office/2011/relationships/chartColorStyle" Target="colors9.xml"/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'80oC'!$A$24:$A$30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'80oC'!$B$24:$B$30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0.13</c:v>
                </c:pt>
                <c:pt idx="2">
                  <c:v>0.46</c:v>
                </c:pt>
                <c:pt idx="3">
                  <c:v>0.59</c:v>
                </c:pt>
                <c:pt idx="4">
                  <c:v>0.79</c:v>
                </c:pt>
                <c:pt idx="5">
                  <c:v>1.38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47840"/>
        <c:axId val="56949376"/>
      </c:scatterChart>
      <c:valAx>
        <c:axId val="569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949376"/>
        <c:crosses val="autoZero"/>
        <c:crossBetween val="midCat"/>
      </c:valAx>
      <c:valAx>
        <c:axId val="56949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947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'140oC'!$A$43:$A$49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'140oC'!$B$43:$B$49</c:f>
              <c:numCache>
                <c:formatCode>General</c:formatCode>
                <c:ptCount val="7"/>
                <c:pt idx="0">
                  <c:v>0</c:v>
                </c:pt>
                <c:pt idx="1">
                  <c:v>4.8745914751287756E-2</c:v>
                </c:pt>
                <c:pt idx="3">
                  <c:v>0.10365165744376326</c:v>
                </c:pt>
                <c:pt idx="4">
                  <c:v>0.13421811975232104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632"/>
        <c:axId val="51783168"/>
      </c:scatterChart>
      <c:valAx>
        <c:axId val="5178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83168"/>
        <c:crosses val="autoZero"/>
        <c:crossBetween val="midCat"/>
      </c:valAx>
      <c:valAx>
        <c:axId val="5178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81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'140oC'!$A$63:$A$69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'140oC'!$B$63:$B$69</c:f>
              <c:numCache>
                <c:formatCode>General</c:formatCode>
                <c:ptCount val="7"/>
                <c:pt idx="0">
                  <c:v>0</c:v>
                </c:pt>
                <c:pt idx="1">
                  <c:v>2.5255088351412474E-2</c:v>
                </c:pt>
                <c:pt idx="2">
                  <c:v>5.9160565755682473E-2</c:v>
                </c:pt>
                <c:pt idx="3">
                  <c:v>6.2036873778220709E-2</c:v>
                </c:pt>
                <c:pt idx="4">
                  <c:v>7.4928130629767331E-2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12224"/>
        <c:axId val="51813760"/>
      </c:scatterChart>
      <c:valAx>
        <c:axId val="5181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3760"/>
        <c:crosses val="autoZero"/>
        <c:crossBetween val="midCat"/>
      </c:valAx>
      <c:valAx>
        <c:axId val="5181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'160oC'!$A$24:$A$30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'160oC'!$B$24:$B$30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3.7</c:v>
                </c:pt>
                <c:pt idx="2">
                  <c:v>7.3</c:v>
                </c:pt>
                <c:pt idx="3">
                  <c:v>8.6999999999999993</c:v>
                </c:pt>
                <c:pt idx="4">
                  <c:v>13.4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7216"/>
        <c:axId val="51578752"/>
      </c:scatterChart>
      <c:valAx>
        <c:axId val="515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578752"/>
        <c:crosses val="autoZero"/>
        <c:crossBetween val="midCat"/>
      </c:valAx>
      <c:valAx>
        <c:axId val="51578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577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'160oC'!$A$43:$A$49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'160oC'!$B$43:$B$49</c:f>
              <c:numCache>
                <c:formatCode>General</c:formatCode>
                <c:ptCount val="7"/>
                <c:pt idx="0">
                  <c:v>0</c:v>
                </c:pt>
                <c:pt idx="1">
                  <c:v>4.8280559956526067E-2</c:v>
                </c:pt>
                <c:pt idx="2">
                  <c:v>6.9386849134730921E-2</c:v>
                </c:pt>
                <c:pt idx="3">
                  <c:v>6.878678637306454E-2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95520"/>
        <c:axId val="51609600"/>
      </c:scatterChart>
      <c:valAx>
        <c:axId val="5159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609600"/>
        <c:crosses val="autoZero"/>
        <c:crossBetween val="midCat"/>
      </c:valAx>
      <c:valAx>
        <c:axId val="5160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595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'160oC'!$A$63:$A$69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'160oC'!$B$63:$B$69</c:f>
              <c:numCache>
                <c:formatCode>General</c:formatCode>
                <c:ptCount val="7"/>
                <c:pt idx="0">
                  <c:v>0</c:v>
                </c:pt>
                <c:pt idx="1">
                  <c:v>7.0852849860094297E-2</c:v>
                </c:pt>
                <c:pt idx="2">
                  <c:v>0.12725056537237917</c:v>
                </c:pt>
                <c:pt idx="3">
                  <c:v>0.14411284449384798</c:v>
                </c:pt>
                <c:pt idx="4">
                  <c:v>0.1619962436275825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34560"/>
        <c:axId val="51636096"/>
      </c:scatterChart>
      <c:valAx>
        <c:axId val="51634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6096"/>
        <c:crosses val="autoZero"/>
        <c:crossBetween val="midCat"/>
      </c:valAx>
      <c:valAx>
        <c:axId val="5163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34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8.8374982585504566E-2"/>
                  <c:y val="-2.9976035604245152E-2"/>
                </c:manualLayout>
              </c:layout>
              <c:numFmt formatCode="General" sourceLinked="0"/>
            </c:trendlineLbl>
          </c:trendline>
          <c:xVal>
            <c:numRef>
              <c:f>'180oC'!$A$24:$A$30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'180oC'!$B$24:$B$30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8.6</c:v>
                </c:pt>
                <c:pt idx="2">
                  <c:v>13.3</c:v>
                </c:pt>
                <c:pt idx="3">
                  <c:v>17.2</c:v>
                </c:pt>
                <c:pt idx="4">
                  <c:v>21.8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40672"/>
        <c:axId val="52154752"/>
      </c:scatterChart>
      <c:valAx>
        <c:axId val="5214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154752"/>
        <c:crosses val="autoZero"/>
        <c:crossBetween val="midCat"/>
      </c:valAx>
      <c:valAx>
        <c:axId val="5215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140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'180oC'!$A$44:$A$50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'180oC'!$B$44:$B$50</c:f>
              <c:numCache>
                <c:formatCode>General</c:formatCode>
                <c:ptCount val="7"/>
                <c:pt idx="0">
                  <c:v>0</c:v>
                </c:pt>
                <c:pt idx="2">
                  <c:v>6.3594406557828748E-2</c:v>
                </c:pt>
                <c:pt idx="3">
                  <c:v>7.2273885789074871E-2</c:v>
                </c:pt>
                <c:pt idx="4">
                  <c:v>7.4716998461573786E-2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9520"/>
        <c:axId val="51661056"/>
      </c:scatterChart>
      <c:valAx>
        <c:axId val="51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661056"/>
        <c:crosses val="autoZero"/>
        <c:crossBetween val="midCat"/>
      </c:valAx>
      <c:valAx>
        <c:axId val="5166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659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'180oC'!$A$63:$A$69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'180oC'!$B$63:$B$69</c:f>
              <c:numCache>
                <c:formatCode>General</c:formatCode>
                <c:ptCount val="7"/>
                <c:pt idx="0">
                  <c:v>9.3250028747748088E-3</c:v>
                </c:pt>
                <c:pt idx="1">
                  <c:v>9.4516462877074631E-2</c:v>
                </c:pt>
                <c:pt idx="2">
                  <c:v>0.12880831001571544</c:v>
                </c:pt>
                <c:pt idx="3">
                  <c:v>0.16275365096400785</c:v>
                </c:pt>
                <c:pt idx="4">
                  <c:v>0.19022576564835753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4208"/>
        <c:axId val="51704192"/>
      </c:scatterChart>
      <c:valAx>
        <c:axId val="51694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04192"/>
        <c:crosses val="autoZero"/>
        <c:crossBetween val="midCat"/>
      </c:valAx>
      <c:valAx>
        <c:axId val="517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94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84592203752309"/>
          <c:y val="2.6766665131770808E-2"/>
          <c:w val="0.65514094768827269"/>
          <c:h val="0.80887093060735826"/>
        </c:manualLayout>
      </c:layout>
      <c:scatterChart>
        <c:scatterStyle val="lineMarker"/>
        <c:varyColors val="0"/>
        <c:ser>
          <c:idx val="0"/>
          <c:order val="0"/>
          <c:tx>
            <c:v>Activity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Summarization!$E$3:$E$8</c:f>
              <c:numCache>
                <c:formatCode>General</c:formatCode>
                <c:ptCount val="6"/>
                <c:pt idx="0">
                  <c:v>12.9</c:v>
                </c:pt>
                <c:pt idx="1">
                  <c:v>23.4</c:v>
                </c:pt>
                <c:pt idx="2">
                  <c:v>45.3</c:v>
                </c:pt>
                <c:pt idx="3">
                  <c:v>91.7</c:v>
                </c:pt>
                <c:pt idx="4">
                  <c:v>234.2</c:v>
                </c:pt>
                <c:pt idx="5">
                  <c:v>415.7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47104"/>
        <c:axId val="52457856"/>
      </c:scatterChart>
      <c:scatterChart>
        <c:scatterStyle val="lineMarker"/>
        <c:varyColors val="0"/>
        <c:ser>
          <c:idx val="1"/>
          <c:order val="1"/>
          <c:tx>
            <c:v>Productivity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Summarization!$F$3:$F$8</c:f>
              <c:numCache>
                <c:formatCode>General</c:formatCode>
                <c:ptCount val="6"/>
                <c:pt idx="0">
                  <c:v>10.3</c:v>
                </c:pt>
                <c:pt idx="1">
                  <c:v>15.1</c:v>
                </c:pt>
                <c:pt idx="2">
                  <c:v>26.2</c:v>
                </c:pt>
                <c:pt idx="3">
                  <c:v>44.5</c:v>
                </c:pt>
                <c:pt idx="4">
                  <c:v>36.299999999999997</c:v>
                </c:pt>
                <c:pt idx="5">
                  <c:v>28.6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66048"/>
        <c:axId val="52459776"/>
      </c:scatterChart>
      <c:valAx>
        <c:axId val="52447104"/>
        <c:scaling>
          <c:orientation val="minMax"/>
          <c:max val="19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</a:t>
                </a:r>
                <a:r>
                  <a:rPr lang="en-US" baseline="0"/>
                  <a:t> temperature </a:t>
                </a:r>
                <a:r>
                  <a:rPr lang="en-US"/>
                  <a:t>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0.24373192236876043"/>
              <c:y val="0.9241158999861859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7856"/>
        <c:crosses val="autoZero"/>
        <c:crossBetween val="midCat"/>
        <c:majorUnit val="20"/>
      </c:valAx>
      <c:valAx>
        <c:axId val="52457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Activity / mmol</a:t>
                </a:r>
                <a:r>
                  <a:rPr lang="en-US" sz="1000" b="0" i="0" baseline="-25000">
                    <a:effectLst/>
                  </a:rPr>
                  <a:t>glucose</a:t>
                </a:r>
                <a:r>
                  <a:rPr lang="en-US" sz="1000" b="0" i="0" baseline="0">
                    <a:effectLst/>
                  </a:rPr>
                  <a:t>.g</a:t>
                </a:r>
                <a:r>
                  <a:rPr lang="en-US" sz="1000" b="0" i="0" baseline="-25000">
                    <a:effectLst/>
                  </a:rPr>
                  <a:t>Pt</a:t>
                </a:r>
                <a:r>
                  <a:rPr lang="en-US" sz="1000" b="0" i="0" baseline="30000">
                    <a:effectLst/>
                  </a:rPr>
                  <a:t>-1</a:t>
                </a:r>
                <a:r>
                  <a:rPr lang="en-US" sz="1000" b="0" i="0" baseline="0">
                    <a:effectLst/>
                  </a:rPr>
                  <a:t>.h</a:t>
                </a:r>
                <a:r>
                  <a:rPr lang="en-US" sz="1000" b="0" i="0" baseline="30000">
                    <a:effectLst/>
                  </a:rPr>
                  <a:t>-1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198364093377204E-4"/>
              <c:y val="9.439647894890332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47104"/>
        <c:crosses val="autoZero"/>
        <c:crossBetween val="midCat"/>
      </c:valAx>
      <c:valAx>
        <c:axId val="52459776"/>
        <c:scaling>
          <c:orientation val="minMax"/>
          <c:max val="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Productivity / mmol</a:t>
                </a:r>
                <a:r>
                  <a:rPr lang="en-US" baseline="-25000"/>
                  <a:t>sorbitol</a:t>
                </a:r>
                <a:r>
                  <a:rPr lang="en-US"/>
                  <a:t>.g</a:t>
                </a:r>
                <a:r>
                  <a:rPr lang="en-US" baseline="-25000"/>
                  <a:t>Pt</a:t>
                </a:r>
                <a:r>
                  <a:rPr lang="en-US" baseline="30000"/>
                  <a:t>-1</a:t>
                </a:r>
                <a:r>
                  <a:rPr lang="en-US"/>
                  <a:t>.h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3279531254404668"/>
              <c:y val="7.473254439686268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6048"/>
        <c:crosses val="max"/>
        <c:crossBetween val="midCat"/>
        <c:majorUnit val="30"/>
      </c:valAx>
      <c:valAx>
        <c:axId val="52466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459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51030366029649"/>
          <c:y val="4.9067550766680484E-2"/>
          <c:w val="0.29531652580124734"/>
          <c:h val="0.119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77474220729581"/>
          <c:y val="6.5231481481481501E-2"/>
          <c:w val="0.68153184643296516"/>
          <c:h val="0.70197272490061557"/>
        </c:manualLayout>
      </c:layout>
      <c:scatterChart>
        <c:scatterStyle val="lineMarker"/>
        <c:varyColors val="0"/>
        <c:ser>
          <c:idx val="1"/>
          <c:order val="0"/>
          <c:tx>
            <c:strRef>
              <c:f>Summarization!$S$1</c:f>
              <c:strCache>
                <c:ptCount val="1"/>
                <c:pt idx="0">
                  <c:v>Fructose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Summarization!$V$3:$V$8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28</c:v>
                </c:pt>
                <c:pt idx="3">
                  <c:v>37</c:v>
                </c:pt>
                <c:pt idx="4">
                  <c:v>39</c:v>
                </c:pt>
                <c:pt idx="5">
                  <c:v>34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Summarization!$R$1</c:f>
              <c:strCache>
                <c:ptCount val="1"/>
                <c:pt idx="0">
                  <c:v>Sorbitol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Summarization!$U$3:$U$8</c:f>
              <c:numCache>
                <c:formatCode>General</c:formatCode>
                <c:ptCount val="6"/>
                <c:pt idx="0">
                  <c:v>100</c:v>
                </c:pt>
                <c:pt idx="1">
                  <c:v>87</c:v>
                </c:pt>
                <c:pt idx="2">
                  <c:v>72</c:v>
                </c:pt>
                <c:pt idx="3">
                  <c:v>61</c:v>
                </c:pt>
                <c:pt idx="4">
                  <c:v>57</c:v>
                </c:pt>
                <c:pt idx="5">
                  <c:v>56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Summarization!$W$1</c:f>
              <c:strCache>
                <c:ptCount val="1"/>
                <c:pt idx="0">
                  <c:v>Mannitol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Summarization!$W$3:$W$8</c:f>
              <c:numCache>
                <c:formatCode>General</c:formatCode>
                <c:ptCount val="6"/>
                <c:pt idx="3">
                  <c:v>2</c:v>
                </c:pt>
                <c:pt idx="4">
                  <c:v>4</c:v>
                </c:pt>
                <c:pt idx="5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74144"/>
        <c:axId val="52397184"/>
      </c:scatterChart>
      <c:valAx>
        <c:axId val="52374144"/>
        <c:scaling>
          <c:orientation val="minMax"/>
          <c:max val="180"/>
          <c:min val="70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>
            <c:manualLayout>
              <c:xMode val="edge"/>
              <c:yMode val="edge"/>
              <c:x val="0.33785470722195005"/>
              <c:y val="0.859624564473300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397184"/>
        <c:crosses val="autoZero"/>
        <c:crossBetween val="midCat"/>
        <c:majorUnit val="20"/>
      </c:valAx>
      <c:valAx>
        <c:axId val="52397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Selectivity / %</a:t>
                </a:r>
              </a:p>
            </c:rich>
          </c:tx>
          <c:layout>
            <c:manualLayout>
              <c:xMode val="edge"/>
              <c:yMode val="edge"/>
              <c:x val="3.6662306244835539E-2"/>
              <c:y val="0.1762448005402833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237414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2485179722265585"/>
          <c:y val="8.5860923086368585E-2"/>
          <c:w val="0.38685052976865664"/>
          <c:h val="0.2235629537535878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'80oC'!$A$44:$A$50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'80oC'!$B$44:$B$50</c:f>
              <c:numCache>
                <c:formatCode>General</c:formatCode>
                <c:ptCount val="7"/>
                <c:pt idx="0">
                  <c:v>0</c:v>
                </c:pt>
                <c:pt idx="1">
                  <c:v>7.0415528154730471E-3</c:v>
                </c:pt>
                <c:pt idx="2">
                  <c:v>2.4195387782905867E-2</c:v>
                </c:pt>
                <c:pt idx="3">
                  <c:v>2.9745968328320056E-2</c:v>
                </c:pt>
                <c:pt idx="4">
                  <c:v>3.8009077480042557E-2</c:v>
                </c:pt>
                <c:pt idx="5">
                  <c:v>5.6635515449319954E-2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84864"/>
        <c:axId val="50098944"/>
      </c:scatterChart>
      <c:valAx>
        <c:axId val="500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098944"/>
        <c:crosses val="autoZero"/>
        <c:crossBetween val="midCat"/>
      </c:valAx>
      <c:valAx>
        <c:axId val="5009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084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851279330281"/>
          <c:y val="3.2824074074074089E-2"/>
          <c:w val="0.77744125609246217"/>
          <c:h val="0.80601755920860774"/>
        </c:manualLayout>
      </c:layout>
      <c:scatterChart>
        <c:scatterStyle val="lineMarker"/>
        <c:varyColors val="0"/>
        <c:ser>
          <c:idx val="0"/>
          <c:order val="0"/>
          <c:tx>
            <c:v>1h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Summarization!$N$3:$N$8</c:f>
              <c:numCache>
                <c:formatCode>General</c:formatCode>
                <c:ptCount val="6"/>
                <c:pt idx="0">
                  <c:v>77.5</c:v>
                </c:pt>
                <c:pt idx="1">
                  <c:v>70.5</c:v>
                </c:pt>
                <c:pt idx="2">
                  <c:v>69.099999999999994</c:v>
                </c:pt>
                <c:pt idx="3">
                  <c:v>61.1</c:v>
                </c:pt>
                <c:pt idx="4">
                  <c:v>25.8</c:v>
                </c:pt>
                <c:pt idx="5">
                  <c:v>22.8</c:v>
                </c:pt>
              </c:numCache>
            </c:numRef>
          </c:yVal>
          <c:smooth val="0"/>
        </c:ser>
        <c:ser>
          <c:idx val="1"/>
          <c:order val="1"/>
          <c:tx>
            <c:v>4h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Summarization!$O$3:$O$8</c:f>
              <c:numCache>
                <c:formatCode>General</c:formatCode>
                <c:ptCount val="6"/>
                <c:pt idx="0">
                  <c:v>63.1</c:v>
                </c:pt>
                <c:pt idx="1">
                  <c:v>59.7</c:v>
                </c:pt>
                <c:pt idx="2">
                  <c:v>56.1</c:v>
                </c:pt>
                <c:pt idx="3">
                  <c:v>41.2</c:v>
                </c:pt>
                <c:pt idx="4">
                  <c:v>23.3</c:v>
                </c:pt>
                <c:pt idx="5">
                  <c:v>13.1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51264"/>
        <c:axId val="52424704"/>
      </c:scatterChart>
      <c:valAx>
        <c:axId val="50251264"/>
        <c:scaling>
          <c:orientation val="minMax"/>
          <c:max val="19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</a:t>
                </a:r>
                <a:r>
                  <a:rPr lang="en-US" baseline="0"/>
                  <a:t> temperature / </a:t>
                </a:r>
                <a:r>
                  <a:rPr lang="en-US" baseline="30000"/>
                  <a:t>o</a:t>
                </a:r>
                <a:r>
                  <a:rPr lang="en-US" baseline="0"/>
                  <a:t>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1531823586946944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24704"/>
        <c:crosses val="autoZero"/>
        <c:crossBetween val="midCat"/>
        <c:majorUnit val="20"/>
      </c:valAx>
      <c:valAx>
        <c:axId val="5242470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balance / %</a:t>
                </a:r>
              </a:p>
            </c:rich>
          </c:tx>
          <c:layout>
            <c:manualLayout>
              <c:xMode val="edge"/>
              <c:yMode val="edge"/>
              <c:x val="1.3987140720080797E-3"/>
              <c:y val="0.254205230925081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5126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56398766860739"/>
          <c:y val="8.8053905542508915E-2"/>
          <c:w val="0.14688526190204054"/>
          <c:h val="0.14756999125109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5567300230388"/>
          <c:y val="9.6215452120216649E-2"/>
          <c:w val="0.65528913635843478"/>
          <c:h val="0.68901991620359915"/>
        </c:manualLayout>
      </c:layout>
      <c:scatterChart>
        <c:scatterStyle val="lineMarker"/>
        <c:varyColors val="0"/>
        <c:ser>
          <c:idx val="1"/>
          <c:order val="1"/>
          <c:tx>
            <c:strRef>
              <c:f>Summarization!$C$2</c:f>
              <c:strCache>
                <c:ptCount val="1"/>
                <c:pt idx="0">
                  <c:v>Glucose conversion rate (mmol/h)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Summarization!$C$3:$C$8</c:f>
              <c:numCache>
                <c:formatCode>General</c:formatCode>
                <c:ptCount val="6"/>
                <c:pt idx="0">
                  <c:v>4.0238486500000004E-2</c:v>
                </c:pt>
                <c:pt idx="1">
                  <c:v>7.2665940000000012E-2</c:v>
                </c:pt>
                <c:pt idx="2">
                  <c:v>0.1403041525</c:v>
                </c:pt>
                <c:pt idx="3">
                  <c:v>0.28413604749999999</c:v>
                </c:pt>
                <c:pt idx="4">
                  <c:v>0.72593718500000004</c:v>
                </c:pt>
                <c:pt idx="5">
                  <c:v>1.2888759999999999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65376"/>
        <c:axId val="52967680"/>
      </c:scatterChart>
      <c:scatterChart>
        <c:scatterStyle val="lineMarker"/>
        <c:varyColors val="0"/>
        <c:ser>
          <c:idx val="0"/>
          <c:order val="0"/>
          <c:tx>
            <c:v>Fru formation rate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Summarization!$P$3:$P$8</c:f>
              <c:numCache>
                <c:formatCode>General</c:formatCode>
                <c:ptCount val="6"/>
                <c:pt idx="0">
                  <c:v>0</c:v>
                </c:pt>
                <c:pt idx="1">
                  <c:v>1.0999999999999999E-2</c:v>
                </c:pt>
                <c:pt idx="2">
                  <c:v>3.2000000000000001E-2</c:v>
                </c:pt>
                <c:pt idx="3">
                  <c:v>8.4000000000000005E-2</c:v>
                </c:pt>
                <c:pt idx="4">
                  <c:v>0.187</c:v>
                </c:pt>
                <c:pt idx="5">
                  <c:v>0.214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Summarization!$Q$2</c:f>
              <c:strCache>
                <c:ptCount val="1"/>
                <c:pt idx="0">
                  <c:v>sorbitol formation rate / mmol/h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Summarization!$Q$3:$Q$8</c:f>
              <c:numCache>
                <c:formatCode>General</c:formatCode>
                <c:ptCount val="6"/>
                <c:pt idx="0">
                  <c:v>3.1899999999999998E-2</c:v>
                </c:pt>
                <c:pt idx="1">
                  <c:v>4.6699999999999998E-2</c:v>
                </c:pt>
                <c:pt idx="2">
                  <c:v>7.2665940000000012E-2</c:v>
                </c:pt>
                <c:pt idx="3">
                  <c:v>8.1199999999999994E-2</c:v>
                </c:pt>
                <c:pt idx="4">
                  <c:v>0.13789999999999999</c:v>
                </c:pt>
                <c:pt idx="5">
                  <c:v>8.8700000000000001E-2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84064"/>
        <c:axId val="52982144"/>
      </c:scatterChart>
      <c:valAx>
        <c:axId val="52965376"/>
        <c:scaling>
          <c:orientation val="minMax"/>
          <c:max val="19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</a:t>
                </a:r>
                <a:r>
                  <a:rPr lang="en-US" baseline="0"/>
                  <a:t> temperature / </a:t>
                </a:r>
                <a:r>
                  <a:rPr lang="en-US" baseline="30000"/>
                  <a:t>o</a:t>
                </a:r>
                <a:r>
                  <a:rPr lang="en-US" baseline="0"/>
                  <a:t>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1531820395635546"/>
              <c:y val="0.840561287095620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67680"/>
        <c:crosses val="autoZero"/>
        <c:crossBetween val="midCat"/>
        <c:majorUnit val="20"/>
      </c:valAx>
      <c:valAx>
        <c:axId val="529676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aseline="0"/>
                  <a:t>Glucose conversion (</a:t>
                </a:r>
                <a:r>
                  <a:rPr lang="en-US" sz="1050" baseline="0">
                    <a:sym typeface="Wingdings"/>
                  </a:rPr>
                  <a:t>) </a:t>
                </a:r>
                <a:r>
                  <a:rPr lang="en-US" sz="1050"/>
                  <a:t>/ mmol.h</a:t>
                </a:r>
                <a:r>
                  <a:rPr lang="en-US" sz="105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2.5971771592144782E-2"/>
              <c:y val="0.148042699843635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65376"/>
        <c:crosses val="autoZero"/>
        <c:crossBetween val="midCat"/>
      </c:valAx>
      <c:valAx>
        <c:axId val="52982144"/>
        <c:scaling>
          <c:orientation val="minMax"/>
          <c:max val="1.4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b="0"/>
                </a:pPr>
                <a:r>
                  <a:rPr lang="en-GB" b="0"/>
                  <a:t>(</a:t>
                </a:r>
                <a:r>
                  <a:rPr lang="en-GB" b="0">
                    <a:sym typeface="Wingdings"/>
                  </a:rPr>
                  <a:t>) </a:t>
                </a:r>
                <a:r>
                  <a:rPr lang="en-GB" b="0"/>
                  <a:t>Fructose or (</a:t>
                </a:r>
                <a:r>
                  <a:rPr lang="en-GB" b="0">
                    <a:sym typeface="Wingdings"/>
                  </a:rPr>
                  <a:t>) </a:t>
                </a:r>
                <a:r>
                  <a:rPr lang="en-GB" b="0"/>
                  <a:t>Sorbitol</a:t>
                </a:r>
                <a:r>
                  <a:rPr lang="en-GB" b="0" baseline="0"/>
                  <a:t> production / mmol.h</a:t>
                </a:r>
                <a:r>
                  <a:rPr lang="en-GB" b="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92204101195928767"/>
              <c:y val="9.2505031004073882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2984064"/>
        <c:crosses val="max"/>
        <c:crossBetween val="midCat"/>
      </c:valAx>
      <c:valAx>
        <c:axId val="5298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98214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92043855151839"/>
          <c:y val="6.5231481481481501E-2"/>
          <c:w val="0.78748890213454159"/>
          <c:h val="0.77994543445227249"/>
        </c:manualLayout>
      </c:layout>
      <c:scatterChart>
        <c:scatterStyle val="lineMarker"/>
        <c:varyColors val="0"/>
        <c:ser>
          <c:idx val="1"/>
          <c:order val="0"/>
          <c:tx>
            <c:strRef>
              <c:f>Summarization!$S$1</c:f>
              <c:strCache>
                <c:ptCount val="1"/>
                <c:pt idx="0">
                  <c:v>Fructose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Summarization!$S$3:$S$8</c:f>
              <c:numCache>
                <c:formatCode>General</c:formatCode>
                <c:ptCount val="6"/>
                <c:pt idx="0">
                  <c:v>0</c:v>
                </c:pt>
                <c:pt idx="1">
                  <c:v>10.1</c:v>
                </c:pt>
                <c:pt idx="2">
                  <c:v>24</c:v>
                </c:pt>
                <c:pt idx="3">
                  <c:v>25</c:v>
                </c:pt>
                <c:pt idx="4">
                  <c:v>27.8</c:v>
                </c:pt>
                <c:pt idx="5">
                  <c:v>16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Summarization!$R$1</c:f>
              <c:strCache>
                <c:ptCount val="1"/>
                <c:pt idx="0">
                  <c:v>Sorbitol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Summarization!$R$3:$R$8</c:f>
              <c:numCache>
                <c:formatCode>General</c:formatCode>
                <c:ptCount val="6"/>
                <c:pt idx="0">
                  <c:v>63.1</c:v>
                </c:pt>
                <c:pt idx="1">
                  <c:v>53.1</c:v>
                </c:pt>
                <c:pt idx="2">
                  <c:v>58.1</c:v>
                </c:pt>
                <c:pt idx="3">
                  <c:v>49</c:v>
                </c:pt>
                <c:pt idx="4">
                  <c:v>18</c:v>
                </c:pt>
                <c:pt idx="5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13504"/>
        <c:axId val="52691328"/>
      </c:scatterChart>
      <c:valAx>
        <c:axId val="53013504"/>
        <c:scaling>
          <c:orientation val="minMax"/>
          <c:max val="19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temperature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0.2981207543680407"/>
              <c:y val="0.925901367592208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91328"/>
        <c:crosses val="autoZero"/>
        <c:crossBetween val="midCat"/>
        <c:majorUnit val="20"/>
      </c:valAx>
      <c:valAx>
        <c:axId val="52691328"/>
        <c:scaling>
          <c:orientation val="minMax"/>
          <c:max val="7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selectivity /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432064390544829E-3"/>
              <c:y val="8.8525502294669309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1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314962272679852"/>
          <c:y val="2.2508096575647341E-2"/>
          <c:w val="0.38085086407733237"/>
          <c:h val="0.23026430906662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Summarization!$D$2</c:f>
              <c:strCache>
                <c:ptCount val="1"/>
                <c:pt idx="0">
                  <c:v>ln rate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1872405949256343"/>
                  <c:y val="-0.3355398804316127"/>
                </c:manualLayout>
              </c:layout>
              <c:numFmt formatCode="General" sourceLinked="0"/>
            </c:trendlineLbl>
          </c:trendline>
          <c:xVal>
            <c:numRef>
              <c:f>Summarization!$B$3:$B$8</c:f>
              <c:numCache>
                <c:formatCode>General</c:formatCode>
                <c:ptCount val="6"/>
                <c:pt idx="0">
                  <c:v>2.8328611898016999E-3</c:v>
                </c:pt>
                <c:pt idx="1">
                  <c:v>2.6809651474530832E-3</c:v>
                </c:pt>
                <c:pt idx="2">
                  <c:v>2.5445292620865142E-3</c:v>
                </c:pt>
                <c:pt idx="3">
                  <c:v>2.4213075060532689E-3</c:v>
                </c:pt>
                <c:pt idx="4">
                  <c:v>2.3094688221709007E-3</c:v>
                </c:pt>
                <c:pt idx="5">
                  <c:v>2.2075055187637969E-3</c:v>
                </c:pt>
              </c:numCache>
            </c:numRef>
          </c:xVal>
          <c:yVal>
            <c:numRef>
              <c:f>Summarization!$D$3:$D$8</c:f>
              <c:numCache>
                <c:formatCode>General</c:formatCode>
                <c:ptCount val="6"/>
                <c:pt idx="0">
                  <c:v>-10.120686644709158</c:v>
                </c:pt>
                <c:pt idx="1">
                  <c:v>-9.5296377838932944</c:v>
                </c:pt>
                <c:pt idx="2">
                  <c:v>-8.8716979740023323</c:v>
                </c:pt>
                <c:pt idx="3">
                  <c:v>-8.1660573940133769</c:v>
                </c:pt>
                <c:pt idx="4">
                  <c:v>-7.2280470689212928</c:v>
                </c:pt>
                <c:pt idx="5">
                  <c:v>-6.6539847582560379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24864"/>
        <c:axId val="52726400"/>
      </c:scatterChart>
      <c:valAx>
        <c:axId val="5272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726400"/>
        <c:crosses val="autoZero"/>
        <c:crossBetween val="midCat"/>
      </c:valAx>
      <c:valAx>
        <c:axId val="5272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724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15567300230388"/>
          <c:y val="9.6215452120216649E-2"/>
          <c:w val="0.65528913635843478"/>
          <c:h val="0.68901991620359915"/>
        </c:manualLayout>
      </c:layout>
      <c:scatterChart>
        <c:scatterStyle val="lineMarker"/>
        <c:varyColors val="0"/>
        <c:ser>
          <c:idx val="1"/>
          <c:order val="0"/>
          <c:tx>
            <c:strRef>
              <c:f>Summarization!$C$2</c:f>
              <c:strCache>
                <c:ptCount val="1"/>
                <c:pt idx="0">
                  <c:v>Glucose conversion rate (mmol/h)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Summarization!$A$3:$A$8</c:f>
              <c:numCache>
                <c:formatCode>General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</c:numCache>
            </c:numRef>
          </c:xVal>
          <c:yVal>
            <c:numRef>
              <c:f>Summarization!$E$3:$E$8</c:f>
              <c:numCache>
                <c:formatCode>General</c:formatCode>
                <c:ptCount val="6"/>
                <c:pt idx="0">
                  <c:v>12.9</c:v>
                </c:pt>
                <c:pt idx="1">
                  <c:v>23.4</c:v>
                </c:pt>
                <c:pt idx="2">
                  <c:v>45.3</c:v>
                </c:pt>
                <c:pt idx="3">
                  <c:v>91.7</c:v>
                </c:pt>
                <c:pt idx="4">
                  <c:v>234.2</c:v>
                </c:pt>
                <c:pt idx="5">
                  <c:v>415.7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34464"/>
        <c:axId val="128337024"/>
      </c:scatterChart>
      <c:valAx>
        <c:axId val="128334464"/>
        <c:scaling>
          <c:orientation val="minMax"/>
          <c:max val="190"/>
          <c:min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</a:t>
                </a:r>
                <a:r>
                  <a:rPr lang="en-US" baseline="0"/>
                  <a:t> temperature / </a:t>
                </a:r>
                <a:r>
                  <a:rPr lang="en-US" baseline="30000"/>
                  <a:t>o</a:t>
                </a:r>
                <a:r>
                  <a:rPr lang="en-US" baseline="0"/>
                  <a:t>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1531820395635546"/>
              <c:y val="0.840561287095620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37024"/>
        <c:crosses val="autoZero"/>
        <c:crossBetween val="midCat"/>
        <c:majorUnit val="20"/>
      </c:valAx>
      <c:valAx>
        <c:axId val="128337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aseline="0"/>
                  <a:t>Glucose conversion activity (</a:t>
                </a:r>
                <a:r>
                  <a:rPr lang="en-US" sz="1050" baseline="0">
                    <a:sym typeface="Wingdings"/>
                  </a:rPr>
                  <a:t>) </a:t>
                </a:r>
                <a:r>
                  <a:rPr lang="en-US" sz="1050"/>
                  <a:t>/ mmol.g</a:t>
                </a:r>
                <a:r>
                  <a:rPr lang="en-US" sz="1050" baseline="-25000"/>
                  <a:t>pt</a:t>
                </a:r>
                <a:r>
                  <a:rPr lang="en-US" sz="1050" baseline="30000"/>
                  <a:t>-1</a:t>
                </a:r>
                <a:r>
                  <a:rPr lang="en-US" sz="1050"/>
                  <a:t>.h</a:t>
                </a:r>
                <a:r>
                  <a:rPr lang="en-US" sz="1050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1.8949590600043184E-2"/>
              <c:y val="7.3833928951237235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3446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'100oC'!$A$24:$A$30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0.16</c:v>
                </c:pt>
                <c:pt idx="2">
                  <c:v>0.79</c:v>
                </c:pt>
                <c:pt idx="3">
                  <c:v>1.01</c:v>
                </c:pt>
                <c:pt idx="4">
                  <c:v>1.26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39968"/>
        <c:axId val="49941504"/>
      </c:scatterChart>
      <c:valAx>
        <c:axId val="4993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41504"/>
        <c:crosses val="autoZero"/>
        <c:crossBetween val="midCat"/>
      </c:valAx>
      <c:valAx>
        <c:axId val="4994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939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'100oC'!$A$44:$A$50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'100oC'!$B$44:$B$50</c:f>
              <c:numCache>
                <c:formatCode>General</c:formatCode>
                <c:ptCount val="7"/>
                <c:pt idx="0">
                  <c:v>0</c:v>
                </c:pt>
                <c:pt idx="1">
                  <c:v>6.8547985886278917E-3</c:v>
                </c:pt>
                <c:pt idx="2">
                  <c:v>3.1950280514033355E-2</c:v>
                </c:pt>
                <c:pt idx="3">
                  <c:v>3.680589041200738E-2</c:v>
                </c:pt>
                <c:pt idx="4">
                  <c:v>4.2270747705754938E-2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6944"/>
        <c:axId val="50001024"/>
      </c:scatterChart>
      <c:valAx>
        <c:axId val="4998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001024"/>
        <c:crosses val="autoZero"/>
        <c:crossBetween val="midCat"/>
      </c:valAx>
      <c:valAx>
        <c:axId val="5000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986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'100oC'!$A$63:$A$69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'100oC'!$B$63:$B$69</c:f>
              <c:numCache>
                <c:formatCode>General</c:formatCode>
                <c:ptCount val="7"/>
                <c:pt idx="0">
                  <c:v>0</c:v>
                </c:pt>
                <c:pt idx="1">
                  <c:v>2.505270420483729E-3</c:v>
                </c:pt>
                <c:pt idx="2">
                  <c:v>8.0922994365441366E-3</c:v>
                </c:pt>
                <c:pt idx="3">
                  <c:v>9.7635018590210426E-3</c:v>
                </c:pt>
                <c:pt idx="4">
                  <c:v>1.0079343784736863E-2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5232"/>
        <c:axId val="50111232"/>
      </c:scatterChart>
      <c:valAx>
        <c:axId val="5001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11232"/>
        <c:crosses val="autoZero"/>
        <c:crossBetween val="midCat"/>
      </c:valAx>
      <c:valAx>
        <c:axId val="5011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1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'120oC'!$A$24:$A$30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'120oC'!$B$24:$B$30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0.26</c:v>
                </c:pt>
                <c:pt idx="2">
                  <c:v>1.08</c:v>
                </c:pt>
                <c:pt idx="3">
                  <c:v>1.67</c:v>
                </c:pt>
                <c:pt idx="4">
                  <c:v>2.9</c:v>
                </c:pt>
                <c:pt idx="5">
                  <c:v>5.04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6368"/>
        <c:axId val="50027904"/>
      </c:scatterChart>
      <c:valAx>
        <c:axId val="500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027904"/>
        <c:crosses val="autoZero"/>
        <c:crossBetween val="midCat"/>
      </c:valAx>
      <c:valAx>
        <c:axId val="5002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026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'120oC'!$A$44:$A$50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'120oC'!$B$44:$B$50</c:f>
              <c:numCache>
                <c:formatCode>General</c:formatCode>
                <c:ptCount val="7"/>
                <c:pt idx="0">
                  <c:v>0</c:v>
                </c:pt>
                <c:pt idx="2">
                  <c:v>4.0213389665755855E-2</c:v>
                </c:pt>
                <c:pt idx="3">
                  <c:v>5.6907992927831733E-2</c:v>
                </c:pt>
                <c:pt idx="4">
                  <c:v>8.4330248827045678E-2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85728"/>
        <c:axId val="50187264"/>
      </c:scatterChart>
      <c:valAx>
        <c:axId val="5018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187264"/>
        <c:crosses val="autoZero"/>
        <c:crossBetween val="midCat"/>
      </c:valAx>
      <c:valAx>
        <c:axId val="5018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185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'120oC'!$A$63:$A$69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'120oC'!$B$63:$B$69</c:f>
              <c:numCache>
                <c:formatCode>General</c:formatCode>
                <c:ptCount val="7"/>
                <c:pt idx="0">
                  <c:v>0</c:v>
                </c:pt>
                <c:pt idx="1">
                  <c:v>4.6211046801333897E-3</c:v>
                </c:pt>
                <c:pt idx="2">
                  <c:v>1.6994135459389013E-2</c:v>
                </c:pt>
                <c:pt idx="3">
                  <c:v>2.3467361723331671E-2</c:v>
                </c:pt>
                <c:pt idx="4">
                  <c:v>3.3120472229675339E-2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95840"/>
        <c:axId val="50205824"/>
      </c:scatterChart>
      <c:valAx>
        <c:axId val="5019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205824"/>
        <c:crosses val="autoZero"/>
        <c:crossBetween val="midCat"/>
      </c:valAx>
      <c:valAx>
        <c:axId val="5020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'140oC'!$A$24:$A$30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</c:numCache>
            </c:numRef>
          </c:xVal>
          <c:yVal>
            <c:numRef>
              <c:f>'140oC'!$B$24:$B$30</c:f>
              <c:numCache>
                <c:formatCode>General</c:formatCode>
                <c:ptCount val="7"/>
                <c:pt idx="0">
                  <c:v>0</c:v>
                </c:pt>
                <c:pt idx="1">
                  <c:v>1.69</c:v>
                </c:pt>
                <c:pt idx="2">
                  <c:v>3.92</c:v>
                </c:pt>
                <c:pt idx="3">
                  <c:v>4.55</c:v>
                </c:pt>
                <c:pt idx="4">
                  <c:v>6.05</c:v>
                </c:pt>
                <c:pt idx="5">
                  <c:v>9.1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88512"/>
        <c:axId val="50290048"/>
      </c:scatterChart>
      <c:valAx>
        <c:axId val="5028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0290048"/>
        <c:crosses val="autoZero"/>
        <c:crossBetween val="midCat"/>
      </c:valAx>
      <c:valAx>
        <c:axId val="50290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88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24</xdr:row>
      <xdr:rowOff>104775</xdr:rowOff>
    </xdr:from>
    <xdr:to>
      <xdr:col>6</xdr:col>
      <xdr:colOff>600075</xdr:colOff>
      <xdr:row>38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179294</xdr:colOff>
      <xdr:row>45</xdr:row>
      <xdr:rowOff>33616</xdr:rowOff>
    </xdr:from>
    <xdr:to>
      <xdr:col>6</xdr:col>
      <xdr:colOff>784412</xdr:colOff>
      <xdr:row>59</xdr:row>
      <xdr:rowOff>112058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601670</xdr:colOff>
      <xdr:row>24</xdr:row>
      <xdr:rowOff>179295</xdr:rowOff>
    </xdr:from>
    <xdr:to>
      <xdr:col>6</xdr:col>
      <xdr:colOff>556847</xdr:colOff>
      <xdr:row>39</xdr:row>
      <xdr:rowOff>67236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89648</xdr:colOff>
      <xdr:row>44</xdr:row>
      <xdr:rowOff>179293</xdr:rowOff>
    </xdr:from>
    <xdr:to>
      <xdr:col>6</xdr:col>
      <xdr:colOff>694766</xdr:colOff>
      <xdr:row>59</xdr:row>
      <xdr:rowOff>67235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67235</xdr:colOff>
      <xdr:row>63</xdr:row>
      <xdr:rowOff>113179</xdr:rowOff>
    </xdr:from>
    <xdr:to>
      <xdr:col>6</xdr:col>
      <xdr:colOff>537882</xdr:colOff>
      <xdr:row>77</xdr:row>
      <xdr:rowOff>189379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210439</xdr:colOff>
      <xdr:row>24</xdr:row>
      <xdr:rowOff>76987</xdr:rowOff>
    </xdr:from>
    <xdr:to>
      <xdr:col>6</xdr:col>
      <xdr:colOff>806389</xdr:colOff>
      <xdr:row>38</xdr:row>
      <xdr:rowOff>155428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134471</xdr:colOff>
      <xdr:row>45</xdr:row>
      <xdr:rowOff>22411</xdr:rowOff>
    </xdr:from>
    <xdr:to>
      <xdr:col>6</xdr:col>
      <xdr:colOff>739589</xdr:colOff>
      <xdr:row>59</xdr:row>
      <xdr:rowOff>100853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179295</xdr:colOff>
      <xdr:row>63</xdr:row>
      <xdr:rowOff>113178</xdr:rowOff>
    </xdr:from>
    <xdr:to>
      <xdr:col>6</xdr:col>
      <xdr:colOff>784413</xdr:colOff>
      <xdr:row>77</xdr:row>
      <xdr:rowOff>189378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24</xdr:row>
      <xdr:rowOff>152400</xdr:rowOff>
    </xdr:from>
    <xdr:to>
      <xdr:col>6</xdr:col>
      <xdr:colOff>981075</xdr:colOff>
      <xdr:row>39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313764</xdr:colOff>
      <xdr:row>43</xdr:row>
      <xdr:rowOff>146797</xdr:rowOff>
    </xdr:from>
    <xdr:to>
      <xdr:col>6</xdr:col>
      <xdr:colOff>918882</xdr:colOff>
      <xdr:row>58</xdr:row>
      <xdr:rowOff>32497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291353</xdr:colOff>
      <xdr:row>63</xdr:row>
      <xdr:rowOff>79560</xdr:rowOff>
    </xdr:from>
    <xdr:to>
      <xdr:col>6</xdr:col>
      <xdr:colOff>896471</xdr:colOff>
      <xdr:row>77</xdr:row>
      <xdr:rowOff>155760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571291</xdr:colOff>
      <xdr:row>24</xdr:row>
      <xdr:rowOff>143625</xdr:rowOff>
    </xdr:from>
    <xdr:to>
      <xdr:col>6</xdr:col>
      <xdr:colOff>519369</xdr:colOff>
      <xdr:row>39</xdr:row>
      <xdr:rowOff>31567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224118</xdr:colOff>
      <xdr:row>43</xdr:row>
      <xdr:rowOff>123264</xdr:rowOff>
    </xdr:from>
    <xdr:to>
      <xdr:col>6</xdr:col>
      <xdr:colOff>829236</xdr:colOff>
      <xdr:row>58</xdr:row>
      <xdr:rowOff>11206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257735</xdr:colOff>
      <xdr:row>63</xdr:row>
      <xdr:rowOff>79561</xdr:rowOff>
    </xdr:from>
    <xdr:to>
      <xdr:col>6</xdr:col>
      <xdr:colOff>862853</xdr:colOff>
      <xdr:row>77</xdr:row>
      <xdr:rowOff>155761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129669</xdr:colOff>
      <xdr:row>25</xdr:row>
      <xdr:rowOff>14327</xdr:rowOff>
    </xdr:from>
    <xdr:to>
      <xdr:col>6</xdr:col>
      <xdr:colOff>1105381</xdr:colOff>
      <xdr:row>39</xdr:row>
      <xdr:rowOff>28015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571500</xdr:colOff>
      <xdr:row>45</xdr:row>
      <xdr:rowOff>44823</xdr:rowOff>
    </xdr:from>
    <xdr:to>
      <xdr:col>6</xdr:col>
      <xdr:colOff>526677</xdr:colOff>
      <xdr:row>59</xdr:row>
      <xdr:rowOff>123265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593911</xdr:colOff>
      <xdr:row>63</xdr:row>
      <xdr:rowOff>101972</xdr:rowOff>
    </xdr:from>
    <xdr:to>
      <xdr:col>6</xdr:col>
      <xdr:colOff>549088</xdr:colOff>
      <xdr:row>77</xdr:row>
      <xdr:rowOff>178172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462047</xdr:colOff>
      <xdr:row>25</xdr:row>
      <xdr:rowOff>122302</xdr:rowOff>
    </xdr:from>
    <xdr:to>
      <xdr:col>8</xdr:col>
      <xdr:colOff>897089</xdr:colOff>
      <xdr:row>39</xdr:row>
      <xdr:rowOff>61342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391839</xdr:colOff>
      <xdr:row>10</xdr:row>
      <xdr:rowOff>163731</xdr:rowOff>
    </xdr:from>
    <xdr:to>
      <xdr:col>17</xdr:col>
      <xdr:colOff>1220597</xdr:colOff>
      <xdr:row>24</xdr:row>
      <xdr:rowOff>102771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985017</xdr:colOff>
      <xdr:row>9</xdr:row>
      <xdr:rowOff>154206</xdr:rowOff>
    </xdr:from>
    <xdr:to>
      <xdr:col>11</xdr:col>
      <xdr:colOff>284719</xdr:colOff>
      <xdr:row>23</xdr:row>
      <xdr:rowOff>93246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793033</xdr:colOff>
      <xdr:row>9</xdr:row>
      <xdr:rowOff>43962</xdr:rowOff>
    </xdr:from>
    <xdr:to>
      <xdr:col>15</xdr:col>
      <xdr:colOff>373673</xdr:colOff>
      <xdr:row>27</xdr:row>
      <xdr:rowOff>37738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29</xdr:row>
      <xdr:rowOff>0</xdr:rowOff>
    </xdr:from>
    <xdr:to>
      <xdr:col>17</xdr:col>
      <xdr:colOff>828758</xdr:colOff>
      <xdr:row>42</xdr:row>
      <xdr:rowOff>129540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695325</xdr:colOff>
      <xdr:row>11</xdr:row>
      <xdr:rowOff>138112</xdr:rowOff>
    </xdr:from>
    <xdr:to>
      <xdr:col>7</xdr:col>
      <xdr:colOff>438150</xdr:colOff>
      <xdr:row>26</xdr:row>
      <xdr:rowOff>23812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30</xdr:row>
      <xdr:rowOff>0</xdr:rowOff>
    </xdr:from>
    <xdr:to>
      <xdr:col>14</xdr:col>
      <xdr:colOff>447415</xdr:colOff>
      <xdr:row>47</xdr:row>
      <xdr:rowOff>184276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0.23733</cdr:x>
      <cdr:y>0.08271</cdr:y>
    </cdr:from>
    <cdr:to>
      <cdr:x>0.77638</cdr:x>
      <cdr:y>0.81371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729698" y="215555"/>
          <a:ext cx="1657350" cy="1905000"/>
        </a:xfrm>
        <a:custGeom xmlns:a="http://schemas.openxmlformats.org/drawingml/2006/main">
          <a:avLst/>
          <a:gdLst>
            <a:gd name="connsiteX0" fmla="*/ 0 w 1657350"/>
            <a:gd name="connsiteY0" fmla="*/ 1905000 h 1905000"/>
            <a:gd name="connsiteX1" fmla="*/ 657225 w 1657350"/>
            <a:gd name="connsiteY1" fmla="*/ 1743075 h 1905000"/>
            <a:gd name="connsiteX2" fmla="*/ 981075 w 1657350"/>
            <a:gd name="connsiteY2" fmla="*/ 1524000 h 1905000"/>
            <a:gd name="connsiteX3" fmla="*/ 1323975 w 1657350"/>
            <a:gd name="connsiteY3" fmla="*/ 847725 h 1905000"/>
            <a:gd name="connsiteX4" fmla="*/ 1657350 w 1657350"/>
            <a:gd name="connsiteY4" fmla="*/ 0 h 1905000"/>
            <a:gd name="connsiteX5" fmla="*/ 1657350 w 1657350"/>
            <a:gd name="connsiteY5" fmla="*/ 0 h 19050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657350" h="1905000">
              <a:moveTo>
                <a:pt x="0" y="1905000"/>
              </a:moveTo>
              <a:cubicBezTo>
                <a:pt x="246856" y="1855787"/>
                <a:pt x="493713" y="1806575"/>
                <a:pt x="657225" y="1743075"/>
              </a:cubicBezTo>
              <a:cubicBezTo>
                <a:pt x="820737" y="1679575"/>
                <a:pt x="869950" y="1673225"/>
                <a:pt x="981075" y="1524000"/>
              </a:cubicBezTo>
              <a:cubicBezTo>
                <a:pt x="1092200" y="1374775"/>
                <a:pt x="1211263" y="1101725"/>
                <a:pt x="1323975" y="847725"/>
              </a:cubicBezTo>
              <a:cubicBezTo>
                <a:pt x="1436688" y="593725"/>
                <a:pt x="1657350" y="0"/>
                <a:pt x="1657350" y="0"/>
              </a:cubicBezTo>
              <a:lnTo>
                <a:pt x="1657350" y="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0.23733</cdr:x>
      <cdr:y>0.40801</cdr:y>
    </cdr:from>
    <cdr:to>
      <cdr:x>0.78258</cdr:x>
      <cdr:y>0.65289</cdr:y>
    </cdr:to>
    <cdr:sp macro="" textlink="">
      <cdr:nvSpPr>
        <cdr:cNvPr id="4" name="Freeform 3"/>
        <cdr:cNvSpPr/>
      </cdr:nvSpPr>
      <cdr:spPr>
        <a:xfrm xmlns:a="http://schemas.openxmlformats.org/drawingml/2006/main">
          <a:off x="729692" y="1063279"/>
          <a:ext cx="1676406" cy="638177"/>
        </a:xfrm>
        <a:custGeom xmlns:a="http://schemas.openxmlformats.org/drawingml/2006/main">
          <a:avLst/>
          <a:gdLst>
            <a:gd name="connsiteX0" fmla="*/ 0 w 1619250"/>
            <a:gd name="connsiteY0" fmla="*/ 699091 h 699091"/>
            <a:gd name="connsiteX1" fmla="*/ 962025 w 1619250"/>
            <a:gd name="connsiteY1" fmla="*/ 3766 h 699091"/>
            <a:gd name="connsiteX2" fmla="*/ 1619250 w 1619250"/>
            <a:gd name="connsiteY2" fmla="*/ 403816 h 699091"/>
            <a:gd name="connsiteX3" fmla="*/ 1619250 w 1619250"/>
            <a:gd name="connsiteY3" fmla="*/ 403816 h 6990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619250" h="699091">
              <a:moveTo>
                <a:pt x="0" y="699091"/>
              </a:moveTo>
              <a:cubicBezTo>
                <a:pt x="346075" y="376035"/>
                <a:pt x="692150" y="52979"/>
                <a:pt x="962025" y="3766"/>
              </a:cubicBezTo>
              <a:cubicBezTo>
                <a:pt x="1231900" y="-45447"/>
                <a:pt x="1619250" y="403816"/>
                <a:pt x="1619250" y="403816"/>
              </a:cubicBezTo>
              <a:lnTo>
                <a:pt x="1619250" y="403816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0.22675</cdr:x>
      <cdr:y>0.2113</cdr:y>
    </cdr:from>
    <cdr:to>
      <cdr:x>0.85489</cdr:x>
      <cdr:y>0.68644</cdr:y>
    </cdr:to>
    <cdr:sp macro="" textlink="">
      <cdr:nvSpPr>
        <cdr:cNvPr id="2" name="Freeform 1"/>
        <cdr:cNvSpPr/>
      </cdr:nvSpPr>
      <cdr:spPr>
        <a:xfrm xmlns:a="http://schemas.openxmlformats.org/drawingml/2006/main">
          <a:off x="653283" y="550644"/>
          <a:ext cx="1809750" cy="1238250"/>
        </a:xfrm>
        <a:custGeom xmlns:a="http://schemas.openxmlformats.org/drawingml/2006/main">
          <a:avLst/>
          <a:gdLst>
            <a:gd name="connsiteX0" fmla="*/ 0 w 1809750"/>
            <a:gd name="connsiteY0" fmla="*/ 0 h 1238250"/>
            <a:gd name="connsiteX1" fmla="*/ 1095375 w 1809750"/>
            <a:gd name="connsiteY1" fmla="*/ 438150 h 1238250"/>
            <a:gd name="connsiteX2" fmla="*/ 1809750 w 1809750"/>
            <a:gd name="connsiteY2" fmla="*/ 1238250 h 1238250"/>
            <a:gd name="connsiteX3" fmla="*/ 1809750 w 1809750"/>
            <a:gd name="connsiteY3" fmla="*/ 1238250 h 12382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09750" h="1238250">
              <a:moveTo>
                <a:pt x="0" y="0"/>
              </a:moveTo>
              <a:cubicBezTo>
                <a:pt x="396875" y="115887"/>
                <a:pt x="793750" y="231775"/>
                <a:pt x="1095375" y="438150"/>
              </a:cubicBezTo>
              <a:cubicBezTo>
                <a:pt x="1397000" y="644525"/>
                <a:pt x="1809750" y="1238250"/>
                <a:pt x="1809750" y="1238250"/>
              </a:cubicBezTo>
              <a:lnTo>
                <a:pt x="1809750" y="1238250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0.21683</cdr:x>
      <cdr:y>0.3246</cdr:y>
    </cdr:from>
    <cdr:to>
      <cdr:x>0.86812</cdr:x>
      <cdr:y>0.78147</cdr:y>
    </cdr:to>
    <cdr:sp macro="" textlink="">
      <cdr:nvSpPr>
        <cdr:cNvPr id="3" name="Freeform 2"/>
        <cdr:cNvSpPr/>
      </cdr:nvSpPr>
      <cdr:spPr>
        <a:xfrm xmlns:a="http://schemas.openxmlformats.org/drawingml/2006/main">
          <a:off x="624708" y="845919"/>
          <a:ext cx="1876425" cy="1190625"/>
        </a:xfrm>
        <a:custGeom xmlns:a="http://schemas.openxmlformats.org/drawingml/2006/main">
          <a:avLst/>
          <a:gdLst>
            <a:gd name="connsiteX0" fmla="*/ 0 w 1876425"/>
            <a:gd name="connsiteY0" fmla="*/ 0 h 1190625"/>
            <a:gd name="connsiteX1" fmla="*/ 1076325 w 1876425"/>
            <a:gd name="connsiteY1" fmla="*/ 381000 h 1190625"/>
            <a:gd name="connsiteX2" fmla="*/ 1876425 w 1876425"/>
            <a:gd name="connsiteY2" fmla="*/ 1190625 h 1190625"/>
            <a:gd name="connsiteX3" fmla="*/ 1876425 w 1876425"/>
            <a:gd name="connsiteY3" fmla="*/ 1190625 h 11906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76425" h="1190625">
              <a:moveTo>
                <a:pt x="0" y="0"/>
              </a:moveTo>
              <a:cubicBezTo>
                <a:pt x="381794" y="91281"/>
                <a:pt x="763588" y="182563"/>
                <a:pt x="1076325" y="381000"/>
              </a:cubicBezTo>
              <a:cubicBezTo>
                <a:pt x="1389063" y="579438"/>
                <a:pt x="1876425" y="1190625"/>
                <a:pt x="1876425" y="1190625"/>
              </a:cubicBezTo>
              <a:lnTo>
                <a:pt x="1876425" y="1190625"/>
              </a:lnTo>
            </a:path>
          </a:pathLst>
        </a:custGeom>
        <a:noFill xmlns:a="http://schemas.openxmlformats.org/drawingml/2006/main"/>
        <a:ln xmlns:a="http://schemas.openxmlformats.org/drawingml/2006/main" w="12700">
          <a:solidFill>
            <a:srgbClr val="C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opLeftCell="C1" zoomScale="85" zoomScaleNormal="85" workbookViewId="0">
      <selection activeCell="D44" sqref="D44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5.5703125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2049260</v>
      </c>
      <c r="B4" s="5" t="s">
        <v>33</v>
      </c>
      <c r="C4" s="5">
        <v>5.5549999999999997</v>
      </c>
      <c r="D4" s="5">
        <f t="shared" ref="D4:D11" si="0">A4/13346600*40</f>
        <v>6.1416690393058904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2049260</v>
      </c>
      <c r="B5" s="5">
        <v>0</v>
      </c>
      <c r="C5" s="5">
        <v>5.5549999999999997</v>
      </c>
      <c r="D5" s="5">
        <f t="shared" si="0"/>
        <v>6.1416690393058904</v>
      </c>
      <c r="E5" s="2">
        <f>(D4-D5)/D4*100</f>
        <v>0</v>
      </c>
      <c r="F5" s="8" t="e">
        <f>(L5+L15+L25+L35)/(E5/100*D4)*100</f>
        <v>#DIV/0!</v>
      </c>
      <c r="G5" s="5">
        <f>(L5+L15+L25+L35+D5)/D4*100</f>
        <v>100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 t="e">
        <f>L5/(D4-D5)*100</f>
        <v>#DIV/0!</v>
      </c>
      <c r="O5" s="2" t="e">
        <f t="shared" si="2"/>
        <v>#DIV/0!</v>
      </c>
    </row>
    <row r="6" spans="1:19" x14ac:dyDescent="0.25">
      <c r="A6" s="18">
        <v>2046620</v>
      </c>
      <c r="B6" s="5">
        <v>15</v>
      </c>
      <c r="C6" s="5">
        <v>5.5549999999999997</v>
      </c>
      <c r="D6" s="5">
        <f t="shared" si="0"/>
        <v>6.1337569118726867</v>
      </c>
      <c r="E6" s="2">
        <f>(D4-D6)/D4*100</f>
        <v>0.12882699120657742</v>
      </c>
      <c r="F6" s="8">
        <f>(L6+L16+L26+L36)/(E6/100*D4)*100</f>
        <v>88.996959097533917</v>
      </c>
      <c r="G6" s="5">
        <f>(L6+L16+L26+L36+D6)/D4*100</f>
        <v>99.985825113464131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2039830</v>
      </c>
      <c r="B7" s="5">
        <v>30</v>
      </c>
      <c r="C7" s="5">
        <v>5.5549999999999997</v>
      </c>
      <c r="D7" s="5">
        <f t="shared" si="0"/>
        <v>6.1134071598759228</v>
      </c>
      <c r="E7" s="2">
        <f>(D4-D7)/D4*100</f>
        <v>0.46016610874169905</v>
      </c>
      <c r="F7" s="8">
        <f>(L7+L17+L27+L37)/(E7/100*D4)*100</f>
        <v>85.611389868326242</v>
      </c>
      <c r="G7" s="5">
        <f>(L7+L17+L27+L37+D7)/D4*100</f>
        <v>99.933788492655069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2036980</v>
      </c>
      <c r="B8" s="5">
        <v>45</v>
      </c>
      <c r="C8" s="5">
        <v>5.5549999999999997</v>
      </c>
      <c r="D8" s="5">
        <f t="shared" si="0"/>
        <v>6.1048656586696239</v>
      </c>
      <c r="E8" s="2">
        <f>(D4-D8)/D4*100</f>
        <v>0.59924070152151698</v>
      </c>
      <c r="F8" s="8">
        <f>(L8+L18+L28+L38)/(E8/100*D4)*100</f>
        <v>80.824010767663196</v>
      </c>
      <c r="G8" s="5">
        <f>(L8+L18+L28+L38+D8)/D4*100</f>
        <v>99.88508966760044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2032890</v>
      </c>
      <c r="B9" s="5">
        <v>60</v>
      </c>
      <c r="C9" s="5">
        <v>5.5549999999999997</v>
      </c>
      <c r="D9" s="5">
        <f t="shared" si="0"/>
        <v>6.0926078551840925</v>
      </c>
      <c r="E9" s="2">
        <f>(D4-D9)/D4*100</f>
        <v>0.79882494168625129</v>
      </c>
      <c r="F9" s="23">
        <f>(L9+L19+L29+L39)/(E9/100*D4)*100</f>
        <v>77.472809024915406</v>
      </c>
      <c r="G9" s="5">
        <f>(L9+L19+L29+L39+D9)/D4*100</f>
        <v>99.820047179829729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2020950</v>
      </c>
      <c r="B10" s="5">
        <v>120</v>
      </c>
      <c r="C10" s="5">
        <v>5.5549999999999997</v>
      </c>
      <c r="D10" s="5">
        <f t="shared" si="0"/>
        <v>6.0568234606566467</v>
      </c>
      <c r="E10" s="2">
        <f>(D4-D10)/D4*100</f>
        <v>1.3814742882796667</v>
      </c>
      <c r="F10" s="8">
        <f>(L10+L20+L30+L40)/(E10/100*D4)*100</f>
        <v>66.751286691619256</v>
      </c>
      <c r="G10" s="5">
        <f>(L10+L20+L30+L40+D10)/D4*100</f>
        <v>99.540677574460901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2017400</v>
      </c>
      <c r="B11" s="5">
        <v>240</v>
      </c>
      <c r="C11" s="5">
        <v>5.5549999999999997</v>
      </c>
      <c r="D11" s="5">
        <f t="shared" si="0"/>
        <v>6.0461840468733605</v>
      </c>
      <c r="E11" s="2">
        <f>(D4-D11)/D4*100</f>
        <v>1.554707552970344</v>
      </c>
      <c r="F11" s="23">
        <f>(L11+L21+L31+L41)/(E11/100*D4)*100</f>
        <v>63.116209082727579</v>
      </c>
      <c r="G11" s="5">
        <f>(L11+L21+L31+L41+D11)/D4*100</f>
        <v>99.42656491678737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 t="e">
        <f>L15/(D4-D5)*100</f>
        <v>#DIV/0!</v>
      </c>
      <c r="O15" s="2" t="e">
        <f>E5*N15/100</f>
        <v>#DIV/0!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0</v>
      </c>
      <c r="J16" s="5">
        <v>15</v>
      </c>
      <c r="K16" s="5">
        <v>0</v>
      </c>
      <c r="L16" s="5">
        <f t="shared" si="3"/>
        <v>0</v>
      </c>
      <c r="M16" s="5">
        <f t="shared" ref="M16:M21" si="6">L16/(L6+L16+L26+L36)*100</f>
        <v>0</v>
      </c>
      <c r="N16" s="2">
        <f>L16/(D4-D6)*100</f>
        <v>0</v>
      </c>
      <c r="O16" s="2">
        <f>E6*N16/100</f>
        <v>0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0</v>
      </c>
      <c r="J17" s="5">
        <v>30</v>
      </c>
      <c r="K17" s="5">
        <v>0</v>
      </c>
      <c r="L17" s="5">
        <f t="shared" si="3"/>
        <v>0</v>
      </c>
      <c r="M17" s="5">
        <f t="shared" si="6"/>
        <v>0</v>
      </c>
      <c r="N17" s="2">
        <f>L17/(D4-D7)*100</f>
        <v>0</v>
      </c>
      <c r="O17" s="2">
        <f t="shared" ref="O17:O20" si="7">E7*N17/100</f>
        <v>0</v>
      </c>
      <c r="R17" s="2"/>
    </row>
    <row r="18" spans="1:18" ht="18" x14ac:dyDescent="0.25">
      <c r="A18" s="1" t="s">
        <v>38</v>
      </c>
      <c r="C18" s="18" t="s">
        <v>78</v>
      </c>
      <c r="F18" s="1"/>
      <c r="G18" s="1"/>
      <c r="H18" s="13"/>
      <c r="I18" s="18">
        <v>0</v>
      </c>
      <c r="J18" s="5">
        <v>45</v>
      </c>
      <c r="K18" s="5">
        <v>0</v>
      </c>
      <c r="L18" s="5">
        <f t="shared" si="3"/>
        <v>0</v>
      </c>
      <c r="M18" s="5">
        <f t="shared" si="6"/>
        <v>0</v>
      </c>
      <c r="N18" s="2">
        <f>L18/(D4-D8)*100</f>
        <v>0</v>
      </c>
      <c r="O18" s="2">
        <f t="shared" si="7"/>
        <v>0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0</v>
      </c>
      <c r="J19" s="5">
        <v>60</v>
      </c>
      <c r="K19" s="5">
        <v>0</v>
      </c>
      <c r="L19" s="5">
        <f t="shared" si="3"/>
        <v>0</v>
      </c>
      <c r="M19" s="5">
        <f t="shared" si="6"/>
        <v>0</v>
      </c>
      <c r="N19" s="2">
        <f>L19/(D4-D9)*100</f>
        <v>0</v>
      </c>
      <c r="O19" s="2">
        <f t="shared" si="7"/>
        <v>0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0</v>
      </c>
      <c r="J20" s="5">
        <v>120</v>
      </c>
      <c r="K20" s="5">
        <v>0</v>
      </c>
      <c r="L20" s="5">
        <f t="shared" si="3"/>
        <v>0</v>
      </c>
      <c r="M20" s="5">
        <f t="shared" si="6"/>
        <v>0</v>
      </c>
      <c r="N20" s="2">
        <f>L20/(D4-D10)*100</f>
        <v>0</v>
      </c>
      <c r="O20" s="2">
        <f t="shared" si="7"/>
        <v>0</v>
      </c>
      <c r="R20" s="2"/>
    </row>
    <row r="21" spans="1:18" x14ac:dyDescent="0.25">
      <c r="A21" s="1" t="s">
        <v>66</v>
      </c>
      <c r="F21" s="1"/>
      <c r="G21" s="1"/>
      <c r="H21" s="13"/>
      <c r="I21" s="18">
        <v>0</v>
      </c>
      <c r="J21" s="5">
        <v>240</v>
      </c>
      <c r="K21" s="5">
        <v>0</v>
      </c>
      <c r="L21" s="5">
        <f t="shared" si="3"/>
        <v>0</v>
      </c>
      <c r="M21" s="5">
        <f t="shared" si="6"/>
        <v>0</v>
      </c>
      <c r="N21" s="24">
        <f>L21/(D4-D11)*100</f>
        <v>0</v>
      </c>
      <c r="O21" s="24">
        <f>E11*N21/100</f>
        <v>0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0.72430000000000005</v>
      </c>
      <c r="D24" s="16">
        <f>C24/100*5.5555</f>
        <v>4.0238486500000004E-2</v>
      </c>
      <c r="E24" s="16">
        <v>1.55</v>
      </c>
      <c r="F24" s="16">
        <f>E24/100*0.2</f>
        <v>3.1000000000000003E-3</v>
      </c>
      <c r="G24" s="17">
        <f>D24/(F24*1)</f>
        <v>12.980156935483871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0.13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 t="e">
        <f>L25/(D4-D5)*100</f>
        <v>#DIV/0!</v>
      </c>
      <c r="O25" s="2" t="e">
        <f>E5*N25/100</f>
        <v>#DIV/0!</v>
      </c>
      <c r="R25" s="2"/>
    </row>
    <row r="26" spans="1:18" x14ac:dyDescent="0.25">
      <c r="A26" s="5">
        <v>0.5</v>
      </c>
      <c r="B26" s="18">
        <v>0.46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0.59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>
        <v>0.79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>
        <v>1.38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 t="e">
        <f>L35/(D4-D5)*100</f>
        <v>#DIV/0!</v>
      </c>
      <c r="O35" s="2" t="e">
        <f t="shared" si="13"/>
        <v>#DIV/0!</v>
      </c>
      <c r="Q35" s="2"/>
      <c r="R35" s="2"/>
    </row>
    <row r="36" spans="1:18" x14ac:dyDescent="0.25">
      <c r="F36" s="1"/>
      <c r="G36" s="1"/>
      <c r="H36" s="13"/>
      <c r="I36" s="18">
        <v>2300</v>
      </c>
      <c r="J36" s="5">
        <v>15</v>
      </c>
      <c r="K36" s="5">
        <v>0</v>
      </c>
      <c r="L36" s="5">
        <f t="shared" si="12"/>
        <v>7.0415528154730471E-3</v>
      </c>
      <c r="M36" s="5">
        <f t="shared" si="14"/>
        <v>100</v>
      </c>
      <c r="N36" s="2">
        <f>L36/(D4-D6)*100</f>
        <v>88.996959097533946</v>
      </c>
      <c r="O36" s="2">
        <f>E6*N36/100</f>
        <v>0.11465210467070136</v>
      </c>
      <c r="Q36" s="2"/>
      <c r="R36" s="2"/>
    </row>
    <row r="37" spans="1:18" x14ac:dyDescent="0.25">
      <c r="F37" s="1"/>
      <c r="G37" s="1"/>
      <c r="H37" s="13"/>
      <c r="I37" s="18">
        <v>7903</v>
      </c>
      <c r="J37" s="5">
        <v>30</v>
      </c>
      <c r="K37" s="5">
        <v>0</v>
      </c>
      <c r="L37" s="5">
        <f t="shared" si="12"/>
        <v>2.4195387782905867E-2</v>
      </c>
      <c r="M37" s="5">
        <f t="shared" si="14"/>
        <v>100</v>
      </c>
      <c r="N37" s="2">
        <f>L37/(D4-D7)*100</f>
        <v>85.611389868326242</v>
      </c>
      <c r="O37" s="2">
        <f t="shared" ref="O37:O41" si="15">E7*N37/100</f>
        <v>0.39395460139676203</v>
      </c>
      <c r="Q37" s="2"/>
      <c r="R37" s="2"/>
    </row>
    <row r="38" spans="1:18" x14ac:dyDescent="0.25">
      <c r="F38" s="1"/>
      <c r="G38" s="1"/>
      <c r="H38" s="13"/>
      <c r="I38" s="18">
        <v>9716</v>
      </c>
      <c r="J38" s="5">
        <v>45</v>
      </c>
      <c r="K38" s="5">
        <v>0</v>
      </c>
      <c r="L38" s="5">
        <f t="shared" si="12"/>
        <v>2.9745968328320056E-2</v>
      </c>
      <c r="M38" s="5">
        <f t="shared" si="14"/>
        <v>100</v>
      </c>
      <c r="N38" s="2">
        <f>L38/(D4-D8)*100</f>
        <v>80.824010767663225</v>
      </c>
      <c r="O38" s="2">
        <f t="shared" si="15"/>
        <v>0.48433036912197153</v>
      </c>
    </row>
    <row r="39" spans="1:18" x14ac:dyDescent="0.25">
      <c r="F39" s="1"/>
      <c r="G39" s="1"/>
      <c r="H39" s="13"/>
      <c r="I39" s="18">
        <v>12415</v>
      </c>
      <c r="J39" s="5">
        <v>60</v>
      </c>
      <c r="K39" s="5">
        <v>0</v>
      </c>
      <c r="L39" s="5">
        <f t="shared" si="12"/>
        <v>3.8009077480042557E-2</v>
      </c>
      <c r="M39" s="5">
        <f t="shared" si="14"/>
        <v>100</v>
      </c>
      <c r="N39" s="2">
        <f>L39/(D4-D9)*100</f>
        <v>77.472809024915406</v>
      </c>
      <c r="O39" s="2">
        <f t="shared" si="15"/>
        <v>0.61887212151598137</v>
      </c>
    </row>
    <row r="40" spans="1:18" x14ac:dyDescent="0.25">
      <c r="F40" s="1"/>
      <c r="G40" s="1"/>
      <c r="H40" s="13"/>
      <c r="I40" s="18">
        <v>18499</v>
      </c>
      <c r="J40" s="5">
        <v>120</v>
      </c>
      <c r="K40" s="5">
        <v>0</v>
      </c>
      <c r="L40" s="5">
        <f t="shared" si="12"/>
        <v>5.6635515449319954E-2</v>
      </c>
      <c r="M40" s="5">
        <f t="shared" si="14"/>
        <v>100</v>
      </c>
      <c r="N40" s="2">
        <f>L40/(D4-D10)*100</f>
        <v>66.751286691619256</v>
      </c>
      <c r="O40" s="2">
        <f t="shared" si="15"/>
        <v>0.92215186274056693</v>
      </c>
    </row>
    <row r="41" spans="1:18" x14ac:dyDescent="0.25">
      <c r="F41" s="1"/>
      <c r="G41" s="1"/>
      <c r="H41" s="13"/>
      <c r="I41" s="18">
        <v>19685</v>
      </c>
      <c r="J41" s="5">
        <v>240</v>
      </c>
      <c r="K41" s="5">
        <v>0</v>
      </c>
      <c r="L41" s="5">
        <f t="shared" si="12"/>
        <v>6.0266507466342142E-2</v>
      </c>
      <c r="M41" s="5">
        <f t="shared" si="14"/>
        <v>100</v>
      </c>
      <c r="N41" s="24">
        <f>L41/(D4-D11)*100</f>
        <v>63.116209082727579</v>
      </c>
      <c r="O41" s="24">
        <f t="shared" si="15"/>
        <v>0.98127246975771998</v>
      </c>
    </row>
    <row r="42" spans="1:18" ht="20.25" x14ac:dyDescent="0.3">
      <c r="A42" s="19" t="s">
        <v>79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97</v>
      </c>
      <c r="C43" s="4" t="s">
        <v>61</v>
      </c>
      <c r="D43" s="4" t="s">
        <v>80</v>
      </c>
      <c r="E43" s="4" t="s">
        <v>81</v>
      </c>
      <c r="F43" s="4" t="s">
        <v>82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3.1899999999999998E-2</v>
      </c>
      <c r="D44" s="16">
        <f>C44</f>
        <v>3.1899999999999998E-2</v>
      </c>
      <c r="E44" s="16">
        <v>1.55</v>
      </c>
      <c r="F44" s="16">
        <f>E44/100*0.2</f>
        <v>3.1000000000000003E-3</v>
      </c>
      <c r="G44" s="17">
        <f>D44/F44</f>
        <v>10.29032258064516</v>
      </c>
    </row>
    <row r="45" spans="1:18" x14ac:dyDescent="0.25">
      <c r="A45" s="5">
        <v>0.25</v>
      </c>
      <c r="B45" s="18">
        <f t="shared" ref="B45:B49" si="16">L36</f>
        <v>7.0415528154730471E-3</v>
      </c>
      <c r="F45" s="1"/>
    </row>
    <row r="46" spans="1:18" x14ac:dyDescent="0.25">
      <c r="A46" s="5">
        <v>0.5</v>
      </c>
      <c r="B46" s="18">
        <f t="shared" si="16"/>
        <v>2.4195387782905867E-2</v>
      </c>
      <c r="F46" s="1"/>
      <c r="G46" s="1"/>
    </row>
    <row r="47" spans="1:18" x14ac:dyDescent="0.25">
      <c r="A47" s="5">
        <v>0.75</v>
      </c>
      <c r="B47" s="18">
        <f t="shared" si="16"/>
        <v>2.9745968328320056E-2</v>
      </c>
      <c r="F47" s="1"/>
      <c r="G47" s="1"/>
    </row>
    <row r="48" spans="1:18" x14ac:dyDescent="0.25">
      <c r="A48" s="5">
        <v>1</v>
      </c>
      <c r="B48" s="18">
        <f t="shared" si="16"/>
        <v>3.8009077480042557E-2</v>
      </c>
      <c r="F48" s="1"/>
      <c r="G48" s="1"/>
    </row>
    <row r="49" spans="1:7" x14ac:dyDescent="0.25">
      <c r="A49" s="5">
        <v>2</v>
      </c>
      <c r="B49" s="18">
        <f t="shared" si="16"/>
        <v>5.6635515449319954E-2</v>
      </c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0</v>
      </c>
      <c r="D63" s="16">
        <f>C63</f>
        <v>0</v>
      </c>
      <c r="E63" s="16">
        <v>1.55</v>
      </c>
      <c r="F63" s="16">
        <f>E63/100*0.2</f>
        <v>3.1000000000000003E-3</v>
      </c>
      <c r="G63" s="17">
        <f>D63/F63</f>
        <v>0</v>
      </c>
    </row>
    <row r="64" spans="1:7" x14ac:dyDescent="0.25">
      <c r="A64" s="5">
        <v>0.25</v>
      </c>
      <c r="B64" s="18">
        <f t="shared" ref="B64:B69" si="17">L16</f>
        <v>0</v>
      </c>
      <c r="F64" s="1"/>
    </row>
    <row r="65" spans="1:7" x14ac:dyDescent="0.25">
      <c r="A65" s="5">
        <v>0.5</v>
      </c>
      <c r="B65" s="18">
        <f t="shared" si="17"/>
        <v>0</v>
      </c>
      <c r="F65" s="1"/>
      <c r="G65" s="1"/>
    </row>
    <row r="66" spans="1:7" x14ac:dyDescent="0.25">
      <c r="A66" s="5">
        <v>0.75</v>
      </c>
      <c r="B66" s="18">
        <f t="shared" si="17"/>
        <v>0</v>
      </c>
      <c r="F66" s="1"/>
      <c r="G66" s="1"/>
    </row>
    <row r="67" spans="1:7" x14ac:dyDescent="0.25">
      <c r="A67" s="5">
        <v>1</v>
      </c>
      <c r="B67" s="18">
        <f t="shared" si="17"/>
        <v>0</v>
      </c>
      <c r="F67" s="1"/>
      <c r="G67" s="1"/>
    </row>
    <row r="68" spans="1:7" x14ac:dyDescent="0.25">
      <c r="A68" s="5">
        <v>2</v>
      </c>
      <c r="B68" s="18">
        <f t="shared" si="17"/>
        <v>0</v>
      </c>
      <c r="F68" s="1"/>
      <c r="G68" s="1"/>
    </row>
    <row r="69" spans="1:7" x14ac:dyDescent="0.25">
      <c r="A69" s="5">
        <v>4</v>
      </c>
      <c r="B69" s="18">
        <f t="shared" si="17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D44" sqref="D44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6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1957420</v>
      </c>
      <c r="B4" s="5" t="s">
        <v>33</v>
      </c>
      <c r="C4" s="5">
        <v>5.5549999999999997</v>
      </c>
      <c r="D4" s="5">
        <f t="shared" ref="D4:D11" si="0">A4/13346600*40</f>
        <v>5.8664229092053413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1955840</v>
      </c>
      <c r="B5" s="5">
        <v>0</v>
      </c>
      <c r="C5" s="5">
        <v>5.5549999999999997</v>
      </c>
      <c r="D5" s="5">
        <f t="shared" si="0"/>
        <v>5.8616876208172863</v>
      </c>
      <c r="E5" s="2">
        <f>(D4-D5)/D4*100</f>
        <v>8.0718496796821665E-2</v>
      </c>
      <c r="F5" s="8">
        <f>(L5+L15+L25+L35)/(E5/100*D4)*100</f>
        <v>0</v>
      </c>
      <c r="G5" s="5">
        <f>(L5+L15+L25+L35+D5)/D4*100</f>
        <v>99.91928150320318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1954190</v>
      </c>
      <c r="B6" s="5">
        <v>15</v>
      </c>
      <c r="C6" s="5">
        <v>5.5549999999999997</v>
      </c>
      <c r="D6" s="5">
        <f t="shared" si="0"/>
        <v>5.8567425411715348</v>
      </c>
      <c r="E6" s="2">
        <f>(D4-D6)/D4*100</f>
        <v>0.16501312952764505</v>
      </c>
      <c r="F6" s="8">
        <f>(L6+L16+L26+L36)/(E6/100*D4)*100</f>
        <v>96.691251576631572</v>
      </c>
      <c r="G6" s="5">
        <f>(L6+L16+L26+L36+D6)/D4*100</f>
        <v>99.994540130678402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1942030</v>
      </c>
      <c r="B7" s="5">
        <v>30</v>
      </c>
      <c r="C7" s="5">
        <v>5.5549999999999997</v>
      </c>
      <c r="D7" s="5">
        <f t="shared" si="0"/>
        <v>5.8202988026913216</v>
      </c>
      <c r="E7" s="2">
        <f>(D4-D7)/D4*100</f>
        <v>0.78623902892584974</v>
      </c>
      <c r="F7" s="8">
        <f>(L7+L17+L27+L37)/(E7/100*D4)*100</f>
        <v>86.814863152755805</v>
      </c>
      <c r="G7" s="5">
        <f>(L7+L17+L27+L37+D7)/D4*100</f>
        <v>99.896333308089694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1937670</v>
      </c>
      <c r="B8" s="5">
        <v>45</v>
      </c>
      <c r="C8" s="5">
        <v>5.5549999999999997</v>
      </c>
      <c r="D8" s="5">
        <f t="shared" si="0"/>
        <v>5.8072318043546662</v>
      </c>
      <c r="E8" s="2">
        <f>(D4-D8)/D4*100</f>
        <v>1.0089812099600739</v>
      </c>
      <c r="F8" s="8">
        <f>(L8+L18+L28+L38)/(E8/100*D4)*100</f>
        <v>78.676335554999099</v>
      </c>
      <c r="G8" s="5">
        <f>(L8+L18+L28+L38+D8)/D4*100</f>
        <v>99.784848232475014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1932660</v>
      </c>
      <c r="B9" s="5">
        <v>60</v>
      </c>
      <c r="C9" s="5">
        <v>5.5549999999999997</v>
      </c>
      <c r="D9" s="5">
        <f t="shared" si="0"/>
        <v>5.7922167443393828</v>
      </c>
      <c r="E9" s="2">
        <f>(D4-D9)/D4*100</f>
        <v>1.2649303675245998</v>
      </c>
      <c r="F9" s="23">
        <f>(L9+L19+L29+L39)/(E9/100*D4)*100</f>
        <v>70.546822605714581</v>
      </c>
      <c r="G9" s="5">
        <f>(L9+L19+L29+L39+D9)/D4*100</f>
        <v>99.627437814938801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1925000</v>
      </c>
      <c r="B10" s="5">
        <v>120</v>
      </c>
      <c r="C10" s="5">
        <v>5.5549999999999997</v>
      </c>
      <c r="D10" s="5">
        <f t="shared" si="0"/>
        <v>5.7692595867112226</v>
      </c>
      <c r="E10" s="2">
        <f>(D4-D10)/D4*100</f>
        <v>1.6562618140205008</v>
      </c>
      <c r="F10" s="8">
        <f>(L10+L20+L30+L40)/(E10/100*D4)*100</f>
        <v>63.207975405957271</v>
      </c>
      <c r="G10" s="5">
        <f>(L10+L20+L30+L40+D10)/D4*100</f>
        <v>99.390627746043833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1913100</v>
      </c>
      <c r="B11" s="5">
        <v>240</v>
      </c>
      <c r="C11" s="5">
        <v>5.5549999999999997</v>
      </c>
      <c r="D11" s="5">
        <f t="shared" si="0"/>
        <v>5.7335950729024621</v>
      </c>
      <c r="E11" s="2">
        <f>(D4-D11)/D4*100</f>
        <v>2.2642049228065608</v>
      </c>
      <c r="F11" s="23">
        <f>(L11+L21+L31+L41)/(E11/100*D4)*100</f>
        <v>59.748303419617486</v>
      </c>
      <c r="G11" s="5">
        <f>(L11+L21+L31+L41+D11)/D4*100</f>
        <v>99.088619104513825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817</v>
      </c>
      <c r="J16" s="5">
        <v>15</v>
      </c>
      <c r="K16" s="5">
        <v>0</v>
      </c>
      <c r="L16" s="5">
        <f t="shared" si="3"/>
        <v>2.505270420483729E-3</v>
      </c>
      <c r="M16" s="5">
        <f t="shared" ref="M16:M21" si="6">L16/(L6+L16+L26+L36)*100</f>
        <v>26.765512284631203</v>
      </c>
      <c r="N16" s="2">
        <f>L16/(D4-D6)*100</f>
        <v>25.879908818906987</v>
      </c>
      <c r="O16" s="2">
        <f>E6*N16/100</f>
        <v>4.2705247460979416E-2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2639</v>
      </c>
      <c r="J17" s="5">
        <v>30</v>
      </c>
      <c r="K17" s="5">
        <v>0</v>
      </c>
      <c r="L17" s="5">
        <f t="shared" si="3"/>
        <v>8.0922994365441366E-3</v>
      </c>
      <c r="M17" s="5">
        <f t="shared" si="6"/>
        <v>20.209235884730823</v>
      </c>
      <c r="N17" s="2">
        <f>L17/(D4-D7)*100</f>
        <v>17.544620477546683</v>
      </c>
      <c r="O17" s="2">
        <f t="shared" ref="O17:O20" si="7">E7*N17/100</f>
        <v>0.13794265367138883</v>
      </c>
      <c r="R17" s="2"/>
    </row>
    <row r="18" spans="1:18" ht="18" x14ac:dyDescent="0.25">
      <c r="A18" s="1" t="s">
        <v>38</v>
      </c>
      <c r="C18" s="18" t="s">
        <v>73</v>
      </c>
      <c r="F18" s="1"/>
      <c r="G18" s="1"/>
      <c r="H18" s="13"/>
      <c r="I18" s="18">
        <v>3184</v>
      </c>
      <c r="J18" s="5">
        <v>45</v>
      </c>
      <c r="K18" s="5">
        <v>0</v>
      </c>
      <c r="L18" s="5">
        <f t="shared" si="3"/>
        <v>9.7635018590210426E-3</v>
      </c>
      <c r="M18" s="5">
        <f t="shared" si="6"/>
        <v>20.965491244117171</v>
      </c>
      <c r="N18" s="2">
        <f>L18/(D4-D8)*100</f>
        <v>16.494880241975579</v>
      </c>
      <c r="O18" s="2">
        <f t="shared" si="7"/>
        <v>0.16643024224695036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3287</v>
      </c>
      <c r="J19" s="5">
        <v>60</v>
      </c>
      <c r="K19" s="5">
        <v>0</v>
      </c>
      <c r="L19" s="5">
        <f t="shared" si="3"/>
        <v>1.0079343784736863E-2</v>
      </c>
      <c r="M19" s="5">
        <f t="shared" si="6"/>
        <v>19.253727162191389</v>
      </c>
      <c r="N19" s="2">
        <f>L19/(D4-D9)*100</f>
        <v>13.582892746099445</v>
      </c>
      <c r="O19" s="2">
        <f t="shared" si="7"/>
        <v>0.17181413513370791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3214</v>
      </c>
      <c r="J20" s="5">
        <v>120</v>
      </c>
      <c r="K20" s="5">
        <v>0</v>
      </c>
      <c r="L20" s="5">
        <f t="shared" si="3"/>
        <v>9.8554946529188538E-3</v>
      </c>
      <c r="M20" s="5">
        <f t="shared" si="6"/>
        <v>16.047381958647051</v>
      </c>
      <c r="N20" s="2">
        <f>L20/(D4-D10)*100</f>
        <v>10.143225241721652</v>
      </c>
      <c r="O20" s="2">
        <f t="shared" si="7"/>
        <v>0.16799836638872434</v>
      </c>
      <c r="R20" s="2"/>
    </row>
    <row r="21" spans="1:18" x14ac:dyDescent="0.25">
      <c r="A21" s="1" t="s">
        <v>66</v>
      </c>
      <c r="F21" s="1"/>
      <c r="G21" s="1"/>
      <c r="H21" s="13"/>
      <c r="I21" s="18">
        <v>3344</v>
      </c>
      <c r="J21" s="5">
        <v>240</v>
      </c>
      <c r="K21" s="5">
        <v>0</v>
      </c>
      <c r="L21" s="5">
        <f t="shared" si="3"/>
        <v>1.0254130093142706E-2</v>
      </c>
      <c r="M21" s="5">
        <f t="shared" si="6"/>
        <v>12.920643592448808</v>
      </c>
      <c r="N21" s="24">
        <f>L21/(D4-D11)*100</f>
        <v>7.7198653373836787</v>
      </c>
      <c r="O21" s="24">
        <f>E11*N21/100</f>
        <v>0.17479357100307857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1.3080000000000001</v>
      </c>
      <c r="D24" s="16">
        <f>C24/100*5.5555</f>
        <v>7.2665940000000012E-2</v>
      </c>
      <c r="E24" s="16">
        <v>1.55</v>
      </c>
      <c r="F24" s="16">
        <f>E24/100*0.2</f>
        <v>3.1000000000000003E-3</v>
      </c>
      <c r="G24" s="17">
        <f>D24/F24</f>
        <v>23.440625806451614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0.16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0.79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1.01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>
        <v>1.26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2239</v>
      </c>
      <c r="J36" s="5">
        <v>15</v>
      </c>
      <c r="K36" s="5">
        <v>0</v>
      </c>
      <c r="L36" s="5">
        <f t="shared" si="12"/>
        <v>6.8547985886278917E-3</v>
      </c>
      <c r="M36" s="5">
        <f t="shared" si="14"/>
        <v>73.2344877153688</v>
      </c>
      <c r="N36" s="2">
        <f>L36/(D4-D6)*100</f>
        <v>70.811342757724589</v>
      </c>
      <c r="O36" s="2">
        <f>E6*N36/100</f>
        <v>0.11684801274506879</v>
      </c>
      <c r="Q36" s="2"/>
      <c r="R36" s="2"/>
    </row>
    <row r="37" spans="1:18" x14ac:dyDescent="0.25">
      <c r="F37" s="1"/>
      <c r="G37" s="1"/>
      <c r="H37" s="13"/>
      <c r="I37" s="18">
        <v>10436</v>
      </c>
      <c r="J37" s="5">
        <v>30</v>
      </c>
      <c r="K37" s="5">
        <v>0</v>
      </c>
      <c r="L37" s="5">
        <f t="shared" si="12"/>
        <v>3.1950280514033355E-2</v>
      </c>
      <c r="M37" s="5">
        <f t="shared" si="14"/>
        <v>79.79076411526917</v>
      </c>
      <c r="N37" s="2">
        <f>L37/(D4-D7)*100</f>
        <v>69.270242675209133</v>
      </c>
      <c r="O37" s="2">
        <f t="shared" ref="O37:O41" si="15">E7*N37/100</f>
        <v>0.54462968334414386</v>
      </c>
      <c r="Q37" s="2"/>
      <c r="R37" s="2"/>
    </row>
    <row r="38" spans="1:18" x14ac:dyDescent="0.25">
      <c r="F38" s="1"/>
      <c r="G38" s="1"/>
      <c r="H38" s="13"/>
      <c r="I38" s="18">
        <v>12022</v>
      </c>
      <c r="J38" s="5">
        <v>45</v>
      </c>
      <c r="K38" s="5">
        <v>0</v>
      </c>
      <c r="L38" s="5">
        <f t="shared" si="12"/>
        <v>3.680589041200738E-2</v>
      </c>
      <c r="M38" s="5">
        <f t="shared" si="14"/>
        <v>79.034508755882825</v>
      </c>
      <c r="N38" s="2">
        <f>L38/(D4-D8)*100</f>
        <v>62.181455313023505</v>
      </c>
      <c r="O38" s="2">
        <f t="shared" si="15"/>
        <v>0.62739920018812723</v>
      </c>
    </row>
    <row r="39" spans="1:18" x14ac:dyDescent="0.25">
      <c r="F39" s="1"/>
      <c r="G39" s="1"/>
      <c r="H39" s="13"/>
      <c r="I39" s="18">
        <v>13807</v>
      </c>
      <c r="J39" s="5">
        <v>60</v>
      </c>
      <c r="K39" s="5">
        <v>0</v>
      </c>
      <c r="L39" s="5">
        <f t="shared" si="12"/>
        <v>4.2270747705754938E-2</v>
      </c>
      <c r="M39" s="5">
        <f t="shared" si="14"/>
        <v>80.746272837808604</v>
      </c>
      <c r="N39" s="2">
        <f>L39/(D4-D9)*100</f>
        <v>56.963929859615149</v>
      </c>
      <c r="O39" s="2">
        <f t="shared" si="15"/>
        <v>0.72055404732968509</v>
      </c>
    </row>
    <row r="40" spans="1:18" x14ac:dyDescent="0.25">
      <c r="F40" s="1"/>
      <c r="G40" s="1"/>
      <c r="H40" s="13"/>
      <c r="I40" s="18">
        <v>16841</v>
      </c>
      <c r="J40" s="5">
        <v>120</v>
      </c>
      <c r="K40" s="5">
        <v>0</v>
      </c>
      <c r="L40" s="5">
        <f t="shared" si="12"/>
        <v>5.1559474332774601E-2</v>
      </c>
      <c r="M40" s="5">
        <f t="shared" si="14"/>
        <v>83.952618041352949</v>
      </c>
      <c r="N40" s="2">
        <f>L40/(D4-D10)*100</f>
        <v>53.064750164235619</v>
      </c>
      <c r="O40" s="2">
        <f t="shared" si="15"/>
        <v>0.87889119367561552</v>
      </c>
    </row>
    <row r="41" spans="1:18" x14ac:dyDescent="0.25">
      <c r="F41" s="1"/>
      <c r="G41" s="1"/>
      <c r="H41" s="13"/>
      <c r="I41" s="18">
        <v>22573</v>
      </c>
      <c r="J41" s="5">
        <v>240</v>
      </c>
      <c r="K41" s="5">
        <v>0</v>
      </c>
      <c r="L41" s="5">
        <f t="shared" si="12"/>
        <v>6.9108248566814384E-2</v>
      </c>
      <c r="M41" s="5">
        <f t="shared" si="14"/>
        <v>87.079356407551202</v>
      </c>
      <c r="N41" s="24">
        <f>L41/(D4-D11)*100</f>
        <v>52.028438082233805</v>
      </c>
      <c r="O41" s="24">
        <f t="shared" si="15"/>
        <v>1.1780304563173012</v>
      </c>
    </row>
    <row r="42" spans="1:18" ht="20.25" x14ac:dyDescent="0.3">
      <c r="A42" s="19" t="s">
        <v>79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97</v>
      </c>
      <c r="C43" s="4" t="s">
        <v>61</v>
      </c>
      <c r="D43" s="4" t="s">
        <v>80</v>
      </c>
      <c r="E43" s="4" t="s">
        <v>81</v>
      </c>
      <c r="F43" s="4" t="s">
        <v>82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4.6699999999999998E-2</v>
      </c>
      <c r="D44" s="16">
        <f>C44</f>
        <v>4.6699999999999998E-2</v>
      </c>
      <c r="E44" s="16">
        <v>1.55</v>
      </c>
      <c r="F44" s="16">
        <f>E44/100*0.2</f>
        <v>3.1000000000000003E-3</v>
      </c>
      <c r="G44" s="17">
        <f>D44/(F44*1)</f>
        <v>15.064516129032256</v>
      </c>
    </row>
    <row r="45" spans="1:18" x14ac:dyDescent="0.25">
      <c r="A45" s="5">
        <v>0.25</v>
      </c>
      <c r="B45" s="18">
        <f t="shared" ref="B45:B48" si="16">L36</f>
        <v>6.8547985886278917E-3</v>
      </c>
      <c r="F45" s="1"/>
    </row>
    <row r="46" spans="1:18" x14ac:dyDescent="0.25">
      <c r="A46" s="5">
        <v>0.5</v>
      </c>
      <c r="B46" s="18">
        <f t="shared" si="16"/>
        <v>3.1950280514033355E-2</v>
      </c>
      <c r="F46" s="1"/>
      <c r="G46" s="1"/>
    </row>
    <row r="47" spans="1:18" x14ac:dyDescent="0.25">
      <c r="A47" s="5">
        <v>0.75</v>
      </c>
      <c r="B47" s="18">
        <f t="shared" si="16"/>
        <v>3.680589041200738E-2</v>
      </c>
      <c r="F47" s="1"/>
      <c r="G47" s="1"/>
    </row>
    <row r="48" spans="1:18" x14ac:dyDescent="0.25">
      <c r="A48" s="5">
        <v>1</v>
      </c>
      <c r="B48" s="18">
        <f t="shared" si="16"/>
        <v>4.2270747705754938E-2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1.0999999999999999E-2</v>
      </c>
      <c r="D63" s="16">
        <f>C63</f>
        <v>1.0999999999999999E-2</v>
      </c>
      <c r="E63" s="16">
        <v>1.55</v>
      </c>
      <c r="F63" s="16">
        <f>E63/100*0.2</f>
        <v>3.1000000000000003E-3</v>
      </c>
      <c r="G63" s="17">
        <f>D63/F63</f>
        <v>3.5483870967741931</v>
      </c>
    </row>
    <row r="64" spans="1:7" x14ac:dyDescent="0.25">
      <c r="A64" s="5">
        <v>0.25</v>
      </c>
      <c r="B64" s="18">
        <f t="shared" ref="B64:B67" si="17">L16</f>
        <v>2.505270420483729E-3</v>
      </c>
      <c r="F64" s="1"/>
    </row>
    <row r="65" spans="1:7" x14ac:dyDescent="0.25">
      <c r="A65" s="5">
        <v>0.5</v>
      </c>
      <c r="B65" s="18">
        <f t="shared" si="17"/>
        <v>8.0922994365441366E-3</v>
      </c>
      <c r="F65" s="1"/>
      <c r="G65" s="1"/>
    </row>
    <row r="66" spans="1:7" x14ac:dyDescent="0.25">
      <c r="A66" s="5">
        <v>0.75</v>
      </c>
      <c r="B66" s="18">
        <f t="shared" si="17"/>
        <v>9.7635018590210426E-3</v>
      </c>
      <c r="F66" s="1"/>
      <c r="G66" s="1"/>
    </row>
    <row r="67" spans="1:7" x14ac:dyDescent="0.25">
      <c r="A67" s="5">
        <v>1</v>
      </c>
      <c r="B67" s="18">
        <f t="shared" si="17"/>
        <v>1.0079343784736863E-2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A9" sqref="A9:XFD9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1955130</v>
      </c>
      <c r="B4" s="5" t="s">
        <v>33</v>
      </c>
      <c r="C4" s="5">
        <v>5.5549999999999997</v>
      </c>
      <c r="D4" s="5">
        <f t="shared" ref="D4:D11" si="0">A4/13346600*40</f>
        <v>5.8595597380606304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1953450</v>
      </c>
      <c r="B5" s="5">
        <v>0</v>
      </c>
      <c r="C5" s="5">
        <v>5.5549999999999997</v>
      </c>
      <c r="D5" s="5">
        <f t="shared" si="0"/>
        <v>5.8545247478758631</v>
      </c>
      <c r="E5" s="2">
        <f>(D4-D5)/D4*100</f>
        <v>8.5927789967949558E-2</v>
      </c>
      <c r="F5" s="8">
        <f>(L5+L15+L25+L35)/(E5/100*D4)*100</f>
        <v>0</v>
      </c>
      <c r="G5" s="5">
        <f>(L5+L15+L25+L35+D5)/D4*100</f>
        <v>99.914072210032046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1949940</v>
      </c>
      <c r="B6" s="5">
        <v>15</v>
      </c>
      <c r="C6" s="5">
        <v>5.5549999999999997</v>
      </c>
      <c r="D6" s="5">
        <f t="shared" si="0"/>
        <v>5.8440052148112631</v>
      </c>
      <c r="E6" s="2">
        <f>(D4-D6)/D4*100</f>
        <v>0.26545549400807711</v>
      </c>
      <c r="F6" s="8">
        <f>(L6+L16+L26+L36)/(E6/100*D4)*100</f>
        <v>95.90187545505627</v>
      </c>
      <c r="G6" s="5">
        <f>(L6+L16+L26+L36+D6)/D4*100</f>
        <v>99.989121303244147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1933890</v>
      </c>
      <c r="B7" s="5">
        <v>30</v>
      </c>
      <c r="C7" s="5">
        <v>5.5549999999999997</v>
      </c>
      <c r="D7" s="5">
        <f t="shared" si="0"/>
        <v>5.7959030764389432</v>
      </c>
      <c r="E7" s="2">
        <f>(D4-D7)/D4*100</f>
        <v>1.0863727731659909</v>
      </c>
      <c r="F7" s="8">
        <f>(L7+L17+L27+L37)/(E7/100*D4)*100</f>
        <v>89.868874156691362</v>
      </c>
      <c r="G7" s="5">
        <f>(L7+L17+L27+L37+D7)/D4*100</f>
        <v>99.889938207223111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1922470</v>
      </c>
      <c r="B8" s="5">
        <v>45</v>
      </c>
      <c r="C8" s="5">
        <v>5.5549999999999997</v>
      </c>
      <c r="D8" s="5">
        <f t="shared" si="0"/>
        <v>5.7616771312544026</v>
      </c>
      <c r="E8" s="2">
        <f>(D4-D8)/D4*100</f>
        <v>1.6704771549717907</v>
      </c>
      <c r="F8" s="8">
        <f>(L8+L18+L28+L38)/(E8/100*D4)*100</f>
        <v>82.114031566688482</v>
      </c>
      <c r="G8" s="5">
        <f>(L8+L18+L28+L38+D8)/D4*100</f>
        <v>99.701218983376066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1898430</v>
      </c>
      <c r="B9" s="5">
        <v>60</v>
      </c>
      <c r="C9" s="5">
        <v>5.5549999999999997</v>
      </c>
      <c r="D9" s="5">
        <f t="shared" si="0"/>
        <v>5.6896288193247724</v>
      </c>
      <c r="E9" s="2">
        <f>(D4-D9)/D4*100</f>
        <v>2.9000629114176575</v>
      </c>
      <c r="F9" s="23">
        <f>(L9+L19+L29+L39)/(E9/100*D4)*100</f>
        <v>69.116745752011965</v>
      </c>
      <c r="G9" s="5">
        <f>(L9+L19+L29+L39+D9)/D4*100</f>
        <v>99.104366197715279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1856600</v>
      </c>
      <c r="B10" s="5">
        <v>120</v>
      </c>
      <c r="C10" s="5">
        <v>5.5549999999999997</v>
      </c>
      <c r="D10" s="5">
        <f t="shared" si="0"/>
        <v>5.5642635577600288</v>
      </c>
      <c r="E10" s="2">
        <f>(D4-D10)/D4*100</f>
        <v>5.0395625866310789</v>
      </c>
      <c r="F10" s="8">
        <f>(L10+L20+L30+L40)/(E10/100*D4)*100</f>
        <v>61.381586721832861</v>
      </c>
      <c r="G10" s="5">
        <f>(L10+L20+L30+L40+D10)/D4*100</f>
        <v>98.053800892882919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1808400</v>
      </c>
      <c r="B11" s="5">
        <v>240</v>
      </c>
      <c r="C11" s="5">
        <v>5.5549999999999997</v>
      </c>
      <c r="D11" s="5">
        <f t="shared" si="0"/>
        <v>5.4198072917447142</v>
      </c>
      <c r="E11" s="2">
        <f>(D4-D11)/D4*100</f>
        <v>7.5048717988062243</v>
      </c>
      <c r="F11" s="23">
        <f>(L11+L21+L31+L41)/(E11/100*D4)*100</f>
        <v>56.053367699578416</v>
      </c>
      <c r="G11" s="5">
        <f>(L11+L21+L31+L41+D11)/D4*100</f>
        <v>96.701861585960586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1507</v>
      </c>
      <c r="J16" s="5">
        <v>15</v>
      </c>
      <c r="K16" s="5">
        <v>0</v>
      </c>
      <c r="L16" s="5">
        <f t="shared" si="3"/>
        <v>4.6211046801333897E-3</v>
      </c>
      <c r="M16" s="5">
        <f t="shared" ref="M16:M21" si="6">L16/(L6+L16+L26+L36)*100</f>
        <v>30.978615322947721</v>
      </c>
      <c r="N16" s="2">
        <f>L16/(D4-D6)*100</f>
        <v>29.709073084714298</v>
      </c>
      <c r="O16" s="2">
        <f>E6*N16/100</f>
        <v>7.8864366722249016E-2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5542</v>
      </c>
      <c r="J17" s="5">
        <v>30</v>
      </c>
      <c r="K17" s="5">
        <v>0</v>
      </c>
      <c r="L17" s="5">
        <f t="shared" si="3"/>
        <v>1.6994135459389013E-2</v>
      </c>
      <c r="M17" s="5">
        <f t="shared" si="6"/>
        <v>29.706118945389314</v>
      </c>
      <c r="N17" s="2">
        <f>L17/(D4-D7)*100</f>
        <v>26.696554651868976</v>
      </c>
      <c r="O17" s="2">
        <f t="shared" ref="O17:O20" si="7">E7*N17/100</f>
        <v>0.29002410111128335</v>
      </c>
      <c r="R17" s="2"/>
    </row>
    <row r="18" spans="1:18" ht="18" x14ac:dyDescent="0.25">
      <c r="A18" s="1" t="s">
        <v>38</v>
      </c>
      <c r="C18" s="18" t="s">
        <v>74</v>
      </c>
      <c r="F18" s="1"/>
      <c r="G18" s="1"/>
      <c r="H18" s="13"/>
      <c r="I18" s="18">
        <v>7653</v>
      </c>
      <c r="J18" s="5">
        <v>45</v>
      </c>
      <c r="K18" s="5">
        <v>0</v>
      </c>
      <c r="L18" s="5">
        <f t="shared" si="3"/>
        <v>2.3467361723331671E-2</v>
      </c>
      <c r="M18" s="5">
        <f t="shared" si="6"/>
        <v>29.197210793261476</v>
      </c>
      <c r="N18" s="2">
        <f>L18/(D4-D8)*100</f>
        <v>23.975006887371304</v>
      </c>
      <c r="O18" s="2">
        <f t="shared" si="7"/>
        <v>0.40049701295645107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10801</v>
      </c>
      <c r="J19" s="5">
        <v>60</v>
      </c>
      <c r="K19" s="5">
        <v>0</v>
      </c>
      <c r="L19" s="5">
        <f t="shared" si="3"/>
        <v>3.3120472229675339E-2</v>
      </c>
      <c r="M19" s="5">
        <f t="shared" si="6"/>
        <v>28.199462661178824</v>
      </c>
      <c r="N19" s="2">
        <f>L19/(D4-D9)*100</f>
        <v>19.490550910960515</v>
      </c>
      <c r="O19" s="2">
        <f t="shared" si="7"/>
        <v>0.56523823819974228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12282</v>
      </c>
      <c r="J20" s="5">
        <v>120</v>
      </c>
      <c r="K20" s="5">
        <v>0</v>
      </c>
      <c r="L20" s="5">
        <f t="shared" si="3"/>
        <v>3.766184982176396E-2</v>
      </c>
      <c r="M20" s="5">
        <f t="shared" si="6"/>
        <v>20.778094021006993</v>
      </c>
      <c r="N20" s="2">
        <f>L20/(D4-D10)*100</f>
        <v>12.753923800648376</v>
      </c>
      <c r="O20" s="2">
        <f t="shared" si="7"/>
        <v>0.64274197218491214</v>
      </c>
      <c r="R20" s="2"/>
    </row>
    <row r="21" spans="1:18" x14ac:dyDescent="0.25">
      <c r="A21" s="1" t="s">
        <v>66</v>
      </c>
      <c r="F21" s="1"/>
      <c r="G21" s="1"/>
      <c r="H21" s="13"/>
      <c r="I21" s="18">
        <v>15442</v>
      </c>
      <c r="J21" s="5">
        <v>240</v>
      </c>
      <c r="K21" s="5">
        <v>0</v>
      </c>
      <c r="L21" s="5">
        <f t="shared" si="3"/>
        <v>4.7351757445666762E-2</v>
      </c>
      <c r="M21" s="5">
        <f t="shared" si="6"/>
        <v>19.209945291391172</v>
      </c>
      <c r="N21" s="24">
        <f>L21/(D4-D11)*100</f>
        <v>10.767821269071344</v>
      </c>
      <c r="O21" s="24">
        <f>E11*N21/100</f>
        <v>0.80811118176839392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2.5255000000000001</v>
      </c>
      <c r="D24" s="16">
        <f>C24/100*5.5555</f>
        <v>0.1403041525</v>
      </c>
      <c r="E24" s="16">
        <v>1.55</v>
      </c>
      <c r="F24" s="16">
        <f>E24/100*0.2</f>
        <v>3.1000000000000003E-3</v>
      </c>
      <c r="G24" s="17">
        <f>D24/(F24*1)</f>
        <v>45.259404032258061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0.26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1.08</v>
      </c>
      <c r="F26" s="1"/>
      <c r="G26" s="1"/>
      <c r="H26" s="14"/>
      <c r="I26" s="18">
        <v>0</v>
      </c>
      <c r="J26" s="5">
        <v>15</v>
      </c>
      <c r="K26" s="5">
        <v>0</v>
      </c>
      <c r="L26" s="5">
        <f t="shared" si="8"/>
        <v>0</v>
      </c>
      <c r="M26" s="5">
        <f>L26/(L26+L16+L6+L36)*100</f>
        <v>0</v>
      </c>
      <c r="N26" s="2">
        <f>L26/(D4-D6)*100</f>
        <v>0</v>
      </c>
      <c r="O26" s="2">
        <f>E6*N26/100</f>
        <v>0</v>
      </c>
      <c r="R26" s="2"/>
    </row>
    <row r="27" spans="1:18" x14ac:dyDescent="0.25">
      <c r="A27" s="5">
        <v>0.75</v>
      </c>
      <c r="B27" s="18">
        <v>1.67</v>
      </c>
      <c r="F27" s="1"/>
      <c r="G27" s="1"/>
      <c r="H27" s="14"/>
      <c r="I27" s="18">
        <v>0</v>
      </c>
      <c r="J27" s="5">
        <v>30</v>
      </c>
      <c r="K27" s="5">
        <v>0</v>
      </c>
      <c r="L27" s="5">
        <f t="shared" si="8"/>
        <v>0</v>
      </c>
      <c r="M27" s="5">
        <f t="shared" ref="M27" si="10">L27/(L27+L17+L7+L37)*100</f>
        <v>0</v>
      </c>
      <c r="N27" s="2">
        <f>L27/(D4-D7)*100</f>
        <v>0</v>
      </c>
      <c r="O27" s="2">
        <f>E7*N27/100</f>
        <v>0</v>
      </c>
      <c r="R27" s="2"/>
    </row>
    <row r="28" spans="1:18" x14ac:dyDescent="0.25">
      <c r="A28" s="5">
        <v>1</v>
      </c>
      <c r="B28" s="18">
        <v>2.9</v>
      </c>
      <c r="F28" s="1"/>
      <c r="G28" s="1"/>
      <c r="H28" s="14"/>
      <c r="I28" s="18">
        <v>0</v>
      </c>
      <c r="J28" s="5">
        <v>45</v>
      </c>
      <c r="K28" s="5">
        <v>0</v>
      </c>
      <c r="L28" s="5">
        <f t="shared" si="8"/>
        <v>0</v>
      </c>
      <c r="M28" s="5">
        <f>L28/(L28+L18+L8+L38)*100</f>
        <v>0</v>
      </c>
      <c r="N28" s="2">
        <f>L28/(D4-D8)*100</f>
        <v>0</v>
      </c>
      <c r="O28" s="2">
        <f>E8*N28/100</f>
        <v>0</v>
      </c>
      <c r="R28" s="2"/>
    </row>
    <row r="29" spans="1:18" x14ac:dyDescent="0.25">
      <c r="A29" s="5">
        <v>2</v>
      </c>
      <c r="B29" s="1">
        <v>5.04</v>
      </c>
      <c r="F29" s="1"/>
      <c r="G29" s="1"/>
      <c r="H29" s="14"/>
      <c r="I29" s="18">
        <v>0</v>
      </c>
      <c r="J29" s="5">
        <v>60</v>
      </c>
      <c r="K29" s="5">
        <v>0</v>
      </c>
      <c r="L29" s="5">
        <f t="shared" si="8"/>
        <v>0</v>
      </c>
      <c r="M29" s="5">
        <f>L29/(L29+L19+L9+L39)*100</f>
        <v>0</v>
      </c>
      <c r="N29" s="2">
        <f>L29/(D4-D9)*100</f>
        <v>0</v>
      </c>
      <c r="O29" s="2">
        <f>E9*N29/100</f>
        <v>0</v>
      </c>
      <c r="R29" s="2"/>
    </row>
    <row r="30" spans="1:18" x14ac:dyDescent="0.25">
      <c r="A30" s="5">
        <v>4</v>
      </c>
      <c r="B30" s="18"/>
      <c r="H30" s="14"/>
      <c r="I30" s="18">
        <v>0</v>
      </c>
      <c r="J30" s="5">
        <v>120</v>
      </c>
      <c r="K30" s="5">
        <v>0</v>
      </c>
      <c r="L30" s="5">
        <f t="shared" si="8"/>
        <v>0</v>
      </c>
      <c r="M30" s="5">
        <f>L30/(L30+L20+L10+L40)*100</f>
        <v>0</v>
      </c>
      <c r="N30" s="2">
        <f>L30/(D4-D10)*100</f>
        <v>0</v>
      </c>
      <c r="O30" s="2">
        <f t="shared" ref="O30:O31" si="11">E10*N30/100</f>
        <v>0</v>
      </c>
      <c r="R30" s="2"/>
    </row>
    <row r="31" spans="1:18" x14ac:dyDescent="0.25">
      <c r="G31" s="1"/>
      <c r="H31" s="14"/>
      <c r="I31" s="18">
        <v>0</v>
      </c>
      <c r="J31" s="5">
        <v>240</v>
      </c>
      <c r="K31" s="5">
        <v>0</v>
      </c>
      <c r="L31" s="5">
        <f t="shared" si="8"/>
        <v>0</v>
      </c>
      <c r="M31" s="5">
        <f>L31/(L31+L21+L11+L41)*100</f>
        <v>0</v>
      </c>
      <c r="N31" s="24">
        <f>L31/(D4-D11)*100</f>
        <v>0</v>
      </c>
      <c r="O31" s="24">
        <f t="shared" si="11"/>
        <v>0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3363</v>
      </c>
      <c r="J36" s="5">
        <v>15</v>
      </c>
      <c r="K36" s="5">
        <v>0</v>
      </c>
      <c r="L36" s="5">
        <f t="shared" si="12"/>
        <v>1.0295974834102547E-2</v>
      </c>
      <c r="M36" s="5">
        <f t="shared" si="14"/>
        <v>69.021384677052282</v>
      </c>
      <c r="N36" s="2">
        <f>L36/(D4-D6)*100</f>
        <v>66.192802370341965</v>
      </c>
      <c r="O36" s="2">
        <f>E6*N36/100</f>
        <v>0.17571243052998145</v>
      </c>
      <c r="Q36" s="2"/>
      <c r="R36" s="2"/>
    </row>
    <row r="37" spans="1:18" x14ac:dyDescent="0.25">
      <c r="F37" s="1"/>
      <c r="G37" s="1"/>
      <c r="H37" s="13"/>
      <c r="I37" s="18">
        <v>13135</v>
      </c>
      <c r="J37" s="5">
        <v>30</v>
      </c>
      <c r="K37" s="5">
        <v>0</v>
      </c>
      <c r="L37" s="5">
        <f t="shared" si="12"/>
        <v>4.0213389665755855E-2</v>
      </c>
      <c r="M37" s="5">
        <f t="shared" si="14"/>
        <v>70.293881054610679</v>
      </c>
      <c r="N37" s="2">
        <f>L37/(D4-D7)*100</f>
        <v>63.172319504822383</v>
      </c>
      <c r="O37" s="2">
        <f t="shared" ref="O37:O41" si="15">E7*N37/100</f>
        <v>0.68628687927781906</v>
      </c>
      <c r="Q37" s="2"/>
      <c r="R37" s="2"/>
    </row>
    <row r="38" spans="1:18" x14ac:dyDescent="0.25">
      <c r="F38" s="1"/>
      <c r="G38" s="1"/>
      <c r="H38" s="13"/>
      <c r="I38" s="18">
        <v>18588</v>
      </c>
      <c r="J38" s="5">
        <v>45</v>
      </c>
      <c r="K38" s="5">
        <v>0</v>
      </c>
      <c r="L38" s="5">
        <f t="shared" si="12"/>
        <v>5.6907992927831733E-2</v>
      </c>
      <c r="M38" s="5">
        <f t="shared" si="14"/>
        <v>70.80278920673851</v>
      </c>
      <c r="N38" s="2">
        <f>L38/(D4-D8)*100</f>
        <v>58.139024679317174</v>
      </c>
      <c r="O38" s="2">
        <f t="shared" si="15"/>
        <v>0.97119912539140485</v>
      </c>
    </row>
    <row r="39" spans="1:18" x14ac:dyDescent="0.25">
      <c r="F39" s="1"/>
      <c r="G39" s="1"/>
      <c r="H39" s="13"/>
      <c r="I39" s="18">
        <v>27545</v>
      </c>
      <c r="J39" s="5">
        <v>60</v>
      </c>
      <c r="K39" s="5">
        <v>0</v>
      </c>
      <c r="L39" s="5">
        <f t="shared" si="12"/>
        <v>8.4330248827045678E-2</v>
      </c>
      <c r="M39" s="5">
        <f t="shared" si="14"/>
        <v>71.800537338821172</v>
      </c>
      <c r="N39" s="2">
        <f>L39/(D4-D9)*100</f>
        <v>49.626194841051444</v>
      </c>
      <c r="O39" s="2">
        <f t="shared" si="15"/>
        <v>1.4391908709331958</v>
      </c>
    </row>
    <row r="40" spans="1:18" x14ac:dyDescent="0.25">
      <c r="F40" s="1"/>
      <c r="G40" s="1"/>
      <c r="H40" s="13"/>
      <c r="I40" s="18">
        <v>46903</v>
      </c>
      <c r="J40" s="5">
        <v>120</v>
      </c>
      <c r="K40" s="5">
        <v>0</v>
      </c>
      <c r="L40" s="5">
        <f t="shared" si="12"/>
        <v>0.1435956311757097</v>
      </c>
      <c r="M40" s="5">
        <f t="shared" si="14"/>
        <v>79.221905978993007</v>
      </c>
      <c r="N40" s="2">
        <f>L40/(D4-D10)*100</f>
        <v>48.627662921184481</v>
      </c>
      <c r="O40" s="2">
        <f t="shared" si="15"/>
        <v>2.4506215073290867</v>
      </c>
    </row>
    <row r="41" spans="1:18" x14ac:dyDescent="0.25">
      <c r="F41" s="1"/>
      <c r="G41" s="1"/>
      <c r="H41" s="13"/>
      <c r="I41" s="18">
        <v>65047</v>
      </c>
      <c r="J41" s="5">
        <v>240</v>
      </c>
      <c r="K41" s="5">
        <v>0</v>
      </c>
      <c r="L41" s="5">
        <f t="shared" si="12"/>
        <v>0.19914429825568489</v>
      </c>
      <c r="M41" s="5">
        <f t="shared" si="14"/>
        <v>80.790054708608821</v>
      </c>
      <c r="N41" s="24">
        <f>L41/(D4-D11)*100</f>
        <v>45.285546430507075</v>
      </c>
      <c r="O41" s="24">
        <f t="shared" si="15"/>
        <v>3.3986222029984243</v>
      </c>
    </row>
    <row r="42" spans="1:18" ht="20.25" x14ac:dyDescent="0.3">
      <c r="A42" s="19" t="s">
        <v>79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97</v>
      </c>
      <c r="C43" s="4" t="s">
        <v>61</v>
      </c>
      <c r="D43" s="4" t="s">
        <v>80</v>
      </c>
      <c r="E43" s="4" t="s">
        <v>81</v>
      </c>
      <c r="F43" s="4" t="s">
        <v>82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8.1199999999999994E-2</v>
      </c>
      <c r="D44" s="16">
        <f>C44</f>
        <v>8.1199999999999994E-2</v>
      </c>
      <c r="E44" s="16">
        <v>1.55</v>
      </c>
      <c r="F44" s="16">
        <f>E44/100*0.2</f>
        <v>3.1000000000000003E-3</v>
      </c>
      <c r="G44" s="17">
        <f>D44/(F44*1)</f>
        <v>26.193548387096769</v>
      </c>
    </row>
    <row r="45" spans="1:18" x14ac:dyDescent="0.25">
      <c r="A45" s="5">
        <v>0.25</v>
      </c>
      <c r="B45" s="18"/>
      <c r="F45" s="1"/>
    </row>
    <row r="46" spans="1:18" x14ac:dyDescent="0.25">
      <c r="A46" s="5">
        <v>0.5</v>
      </c>
      <c r="B46" s="18">
        <f t="shared" ref="B46:B48" si="16">L37</f>
        <v>4.0213389665755855E-2</v>
      </c>
      <c r="F46" s="1"/>
      <c r="G46" s="1"/>
    </row>
    <row r="47" spans="1:18" x14ac:dyDescent="0.25">
      <c r="A47" s="5">
        <v>0.75</v>
      </c>
      <c r="B47" s="18">
        <f t="shared" si="16"/>
        <v>5.6907992927831733E-2</v>
      </c>
      <c r="F47" s="1"/>
      <c r="G47" s="1"/>
    </row>
    <row r="48" spans="1:18" x14ac:dyDescent="0.25">
      <c r="A48" s="5">
        <v>1</v>
      </c>
      <c r="B48" s="18">
        <f t="shared" si="16"/>
        <v>8.4330248827045678E-2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3.2199999999999999E-2</v>
      </c>
      <c r="D63" s="16">
        <f>C63</f>
        <v>3.2199999999999999E-2</v>
      </c>
      <c r="E63" s="16">
        <v>1.55</v>
      </c>
      <c r="F63" s="16">
        <f>E63/100*0.2</f>
        <v>3.1000000000000003E-3</v>
      </c>
      <c r="G63" s="17">
        <f>D63/F63</f>
        <v>10.387096774193546</v>
      </c>
    </row>
    <row r="64" spans="1:7" x14ac:dyDescent="0.25">
      <c r="A64" s="5">
        <v>0.25</v>
      </c>
      <c r="B64" s="18">
        <f t="shared" ref="B64:B67" si="17">L16</f>
        <v>4.6211046801333897E-3</v>
      </c>
      <c r="F64" s="1"/>
    </row>
    <row r="65" spans="1:7" x14ac:dyDescent="0.25">
      <c r="A65" s="5">
        <v>0.5</v>
      </c>
      <c r="B65" s="18">
        <f t="shared" si="17"/>
        <v>1.6994135459389013E-2</v>
      </c>
      <c r="F65" s="1"/>
      <c r="G65" s="1"/>
    </row>
    <row r="66" spans="1:7" x14ac:dyDescent="0.25">
      <c r="A66" s="5">
        <v>0.75</v>
      </c>
      <c r="B66" s="18">
        <f t="shared" si="17"/>
        <v>2.3467361723331671E-2</v>
      </c>
      <c r="F66" s="1"/>
      <c r="G66" s="1"/>
    </row>
    <row r="67" spans="1:7" x14ac:dyDescent="0.25">
      <c r="A67" s="5">
        <v>1</v>
      </c>
      <c r="B67" s="18">
        <f t="shared" si="17"/>
        <v>3.3120472229675339E-2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I27" sqref="I27:O27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1926780</v>
      </c>
      <c r="B4" s="5" t="s">
        <v>33</v>
      </c>
      <c r="C4" s="5">
        <v>5.5549999999999997</v>
      </c>
      <c r="D4" s="5">
        <f t="shared" ref="D4:D11" si="0">A4/13346600*40</f>
        <v>5.7745942786927005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1926580</v>
      </c>
      <c r="B5" s="5">
        <v>0</v>
      </c>
      <c r="C5" s="5">
        <v>5.5549999999999997</v>
      </c>
      <c r="D5" s="5">
        <f t="shared" si="0"/>
        <v>5.7739948750992767</v>
      </c>
      <c r="E5" s="2">
        <f>(D4-D5)/D4*100</f>
        <v>1.0380012248401741E-2</v>
      </c>
      <c r="F5" s="8">
        <f>(L5+L15+L25+L35)/(E5/100*D4)*100</f>
        <v>0</v>
      </c>
      <c r="G5" s="5">
        <f>(L5+L15+L25+L35+D5)/D4*100</f>
        <v>99.989619987751595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1894210</v>
      </c>
      <c r="B6" s="5">
        <v>15</v>
      </c>
      <c r="C6" s="5">
        <v>5.5549999999999997</v>
      </c>
      <c r="D6" s="5">
        <f t="shared" si="0"/>
        <v>5.6769814035035138</v>
      </c>
      <c r="E6" s="2">
        <f>(D4-D6)/D4*100</f>
        <v>1.690384994654293</v>
      </c>
      <c r="F6" s="8">
        <f>(L6+L16+L26+L36)/(E6/100*D4)*100</f>
        <v>79.873856447847444</v>
      </c>
      <c r="G6" s="5">
        <f>(L6+L16+L26+L36+D6)/D4*100</f>
        <v>99.659790689391826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1851170</v>
      </c>
      <c r="B7" s="5">
        <v>30</v>
      </c>
      <c r="C7" s="5">
        <v>5.5549999999999997</v>
      </c>
      <c r="D7" s="5">
        <f t="shared" si="0"/>
        <v>5.5479897501985516</v>
      </c>
      <c r="E7" s="2">
        <f>(D4-D7)/D4*100</f>
        <v>3.9241636305130942</v>
      </c>
      <c r="F7" s="8">
        <f>(L7+L17+L27+L37)/(E7/100*D4)*100</f>
        <v>70.384909829457882</v>
      </c>
      <c r="G7" s="5">
        <f>(L7+L17+L27+L37+D7)/D4*100</f>
        <v>98.837855402383923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1839120</v>
      </c>
      <c r="B8" s="5">
        <v>45</v>
      </c>
      <c r="C8" s="5">
        <v>5.5549999999999997</v>
      </c>
      <c r="D8" s="5">
        <f t="shared" si="0"/>
        <v>5.5118756836947238</v>
      </c>
      <c r="E8" s="2">
        <f>(D4-D8)/D4*100</f>
        <v>4.5495593684800495</v>
      </c>
      <c r="F8" s="8">
        <f>(L8+L18+L28+L38)/(E8/100*D4)*100</f>
        <v>64.5026608563428</v>
      </c>
      <c r="G8" s="5">
        <f>(L8+L18+L28+L38+D8)/D4*100</f>
        <v>98.385027481428608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1810270</v>
      </c>
      <c r="B9" s="5">
        <v>60</v>
      </c>
      <c r="C9" s="5">
        <v>5.5549999999999997</v>
      </c>
      <c r="D9" s="5">
        <f t="shared" si="0"/>
        <v>5.425411715343234</v>
      </c>
      <c r="E9" s="2">
        <f>(D4-D9)/D4*100</f>
        <v>6.0468761353138261</v>
      </c>
      <c r="F9" s="23">
        <f>(L9+L19+L29+L39)/(E9/100*D4)*100</f>
        <v>61.117838783282885</v>
      </c>
      <c r="G9" s="5">
        <f>(L9+L19+L29+L39+D9)/D4*100</f>
        <v>97.64884387249208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1751390</v>
      </c>
      <c r="B10" s="5">
        <v>120</v>
      </c>
      <c r="C10" s="5">
        <v>5.5549999999999997</v>
      </c>
      <c r="D10" s="5">
        <f t="shared" si="0"/>
        <v>5.2489472974390488</v>
      </c>
      <c r="E10" s="2">
        <f>(D4-D10)/D4*100</f>
        <v>9.1027517412470402</v>
      </c>
      <c r="F10" s="8">
        <f>(L10+L20+L30+L40)/(E10/100*D4)*100</f>
        <v>47.227044584284307</v>
      </c>
      <c r="G10" s="5">
        <f>(L10+L20+L30+L40+D10)/D4*100</f>
        <v>95.196208881988426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1614650</v>
      </c>
      <c r="B11" s="5">
        <v>240</v>
      </c>
      <c r="C11" s="5">
        <v>5.5549999999999997</v>
      </c>
      <c r="D11" s="5">
        <f t="shared" si="0"/>
        <v>4.8391350606146881</v>
      </c>
      <c r="E11" s="2">
        <f>(D4-D11)/D4*100</f>
        <v>16.199566115488018</v>
      </c>
      <c r="F11" s="23">
        <f>(L11+L21+L31+L41)/(E11/100*D4)*100</f>
        <v>41.227926697342362</v>
      </c>
      <c r="G11" s="5">
        <f>(L11+L21+L31+L41+D11)/D4*100</f>
        <v>90.479179127892891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8236</v>
      </c>
      <c r="J16" s="5">
        <v>15</v>
      </c>
      <c r="K16" s="5">
        <v>0</v>
      </c>
      <c r="L16" s="5">
        <f t="shared" si="3"/>
        <v>2.5255088351412474E-2</v>
      </c>
      <c r="M16" s="5">
        <f t="shared" ref="M16:M21" si="6">L16/(L6+L16+L26+L36)*100</f>
        <v>32.391953001487664</v>
      </c>
      <c r="N16" s="2">
        <f>L16/(D4-D6)*100</f>
        <v>25.872702041062475</v>
      </c>
      <c r="O16" s="2">
        <f>E6*N16/100</f>
        <v>0.43734827301373508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19293</v>
      </c>
      <c r="J17" s="5">
        <v>30</v>
      </c>
      <c r="K17" s="5">
        <v>0</v>
      </c>
      <c r="L17" s="5">
        <f t="shared" si="3"/>
        <v>5.9160565755682473E-2</v>
      </c>
      <c r="M17" s="5">
        <f t="shared" si="6"/>
        <v>37.092335160494898</v>
      </c>
      <c r="N17" s="2">
        <f>L17/(D4-D7)*100</f>
        <v>26.107406656354637</v>
      </c>
      <c r="O17" s="2">
        <f t="shared" ref="O17:O20" si="7">E7*N17/100</f>
        <v>1.0244973568788234</v>
      </c>
      <c r="R17" s="2"/>
    </row>
    <row r="18" spans="1:18" ht="18" x14ac:dyDescent="0.25">
      <c r="A18" s="1" t="s">
        <v>38</v>
      </c>
      <c r="C18" s="18" t="s">
        <v>75</v>
      </c>
      <c r="F18" s="1"/>
      <c r="G18" s="1"/>
      <c r="H18" s="13"/>
      <c r="I18" s="18">
        <v>20231</v>
      </c>
      <c r="J18" s="5">
        <v>45</v>
      </c>
      <c r="K18" s="5">
        <v>0</v>
      </c>
      <c r="L18" s="5">
        <f t="shared" si="3"/>
        <v>6.2036873778220709E-2</v>
      </c>
      <c r="M18" s="5">
        <f t="shared" si="6"/>
        <v>36.608460090583613</v>
      </c>
      <c r="N18" s="2">
        <f>L18/(D4-D8)*100</f>
        <v>23.61343085695875</v>
      </c>
      <c r="O18" s="2">
        <f t="shared" si="7"/>
        <v>1.0743070557723258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24435</v>
      </c>
      <c r="J19" s="5">
        <v>60</v>
      </c>
      <c r="K19" s="5">
        <v>0</v>
      </c>
      <c r="L19" s="5">
        <f t="shared" si="3"/>
        <v>7.4928130629767331E-2</v>
      </c>
      <c r="M19" s="5">
        <f t="shared" si="6"/>
        <v>35.109477006849986</v>
      </c>
      <c r="N19" s="2">
        <f>L19/(D4-D9)*100</f>
        <v>21.458153554700342</v>
      </c>
      <c r="O19" s="2">
        <f t="shared" si="7"/>
        <v>1.2975479663781704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26415</v>
      </c>
      <c r="J20" s="5">
        <v>120</v>
      </c>
      <c r="K20" s="5">
        <v>0</v>
      </c>
      <c r="L20" s="5">
        <f t="shared" si="3"/>
        <v>8.0999655027022888E-2</v>
      </c>
      <c r="M20" s="5">
        <f t="shared" si="6"/>
        <v>32.628583921473329</v>
      </c>
      <c r="N20" s="2">
        <f>L20/(D4-D10)*100</f>
        <v>15.409515875814833</v>
      </c>
      <c r="O20" s="2">
        <f t="shared" si="7"/>
        <v>1.4026899747034738</v>
      </c>
      <c r="R20" s="2"/>
    </row>
    <row r="21" spans="1:18" x14ac:dyDescent="0.25">
      <c r="A21" s="1" t="s">
        <v>66</v>
      </c>
      <c r="F21" s="1"/>
      <c r="G21" s="1"/>
      <c r="H21" s="13"/>
      <c r="I21" s="18">
        <v>37195</v>
      </c>
      <c r="J21" s="5">
        <v>240</v>
      </c>
      <c r="K21" s="5">
        <v>0</v>
      </c>
      <c r="L21" s="5">
        <f t="shared" si="3"/>
        <v>0.11405573230096974</v>
      </c>
      <c r="M21" s="5">
        <f t="shared" si="6"/>
        <v>29.573366341011258</v>
      </c>
      <c r="N21" s="24">
        <f>L21/(D4-D11)*100</f>
        <v>12.192485797008642</v>
      </c>
      <c r="O21" s="24">
        <f>E11*N21/100</f>
        <v>1.9751297978079012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5.1144999999999996</v>
      </c>
      <c r="D24" s="16">
        <f>C24/100*5.5555</f>
        <v>0.28413604749999999</v>
      </c>
      <c r="E24" s="16">
        <v>1.55</v>
      </c>
      <c r="F24" s="16">
        <f>E24/100*0.2</f>
        <v>3.1000000000000003E-3</v>
      </c>
      <c r="G24" s="17">
        <f>D24/(F24*1)</f>
        <v>91.656789516129024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1.69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3.92</v>
      </c>
      <c r="F26" s="1"/>
      <c r="G26" s="1"/>
      <c r="H26" s="14"/>
      <c r="I26" s="18">
        <v>1307</v>
      </c>
      <c r="J26" s="5">
        <v>15</v>
      </c>
      <c r="K26" s="5">
        <v>0</v>
      </c>
      <c r="L26" s="5">
        <f t="shared" si="8"/>
        <v>3.9661647005272537E-3</v>
      </c>
      <c r="M26" s="5">
        <f>L26/(L26+L16+L6+L36)*100</f>
        <v>5.0869677740982047</v>
      </c>
      <c r="N26" s="2">
        <f>L26/(D4-D6)*100</f>
        <v>4.0631573374314609</v>
      </c>
      <c r="O26" s="2">
        <f>E6*N26/100</f>
        <v>6.8683001941136315E-2</v>
      </c>
      <c r="R26" s="2"/>
    </row>
    <row r="27" spans="1:18" x14ac:dyDescent="0.25">
      <c r="A27" s="5">
        <v>0.75</v>
      </c>
      <c r="B27" s="18">
        <v>4.55</v>
      </c>
      <c r="F27" s="1"/>
      <c r="G27" s="1"/>
      <c r="H27" s="14"/>
      <c r="I27" s="18">
        <v>1178</v>
      </c>
      <c r="J27" s="5">
        <v>30</v>
      </c>
      <c r="K27" s="5">
        <v>0</v>
      </c>
      <c r="L27" s="5">
        <f t="shared" si="8"/>
        <v>3.5747069756856195E-3</v>
      </c>
      <c r="M27" s="5">
        <f t="shared" ref="M27" si="10">L27/(L27+L17+L7+L37)*100</f>
        <v>2.2412603319290301</v>
      </c>
      <c r="N27" s="2">
        <f>L27/(D4-D7)*100</f>
        <v>1.577509063671656</v>
      </c>
      <c r="O27" s="2">
        <f>E7*N27/100</f>
        <v>6.190403694465077E-2</v>
      </c>
      <c r="R27" s="2"/>
    </row>
    <row r="28" spans="1:18" x14ac:dyDescent="0.25">
      <c r="A28" s="5">
        <v>1</v>
      </c>
      <c r="B28" s="1">
        <v>6.05</v>
      </c>
      <c r="F28" s="1"/>
      <c r="G28" s="1"/>
      <c r="H28" s="14"/>
      <c r="I28" s="18">
        <v>1243</v>
      </c>
      <c r="J28" s="5">
        <v>45</v>
      </c>
      <c r="K28" s="5">
        <v>0</v>
      </c>
      <c r="L28" s="5">
        <f t="shared" si="8"/>
        <v>3.7719531161096993E-3</v>
      </c>
      <c r="M28" s="5">
        <f>L28/(L28+L18+L8+L38)*100</f>
        <v>2.2258599878566425</v>
      </c>
      <c r="N28" s="2">
        <f>L28/(D4-D8)*100</f>
        <v>1.4357389191042031</v>
      </c>
      <c r="O28" s="2">
        <f>E8*N28/100</f>
        <v>6.5319794501019476E-2</v>
      </c>
      <c r="R28" s="2"/>
    </row>
    <row r="29" spans="1:18" x14ac:dyDescent="0.25">
      <c r="A29" s="5">
        <v>2</v>
      </c>
      <c r="B29" s="18">
        <v>9.1</v>
      </c>
      <c r="F29" s="1"/>
      <c r="G29" s="1"/>
      <c r="H29" s="14"/>
      <c r="I29" s="18">
        <v>1406</v>
      </c>
      <c r="J29" s="5">
        <v>60</v>
      </c>
      <c r="K29" s="5">
        <v>0</v>
      </c>
      <c r="L29" s="5">
        <f t="shared" si="8"/>
        <v>4.2665857451731591E-3</v>
      </c>
      <c r="M29" s="5">
        <f>L29/(L29+L19+L9+L39)*100</f>
        <v>1.9992170211490583</v>
      </c>
      <c r="N29" s="2">
        <f>L29/(D4-D9)*100</f>
        <v>1.2218782359138318</v>
      </c>
      <c r="O29" s="2">
        <f>E9*N29/100</f>
        <v>7.3885463450067065E-2</v>
      </c>
      <c r="R29" s="2"/>
    </row>
    <row r="30" spans="1:18" x14ac:dyDescent="0.25">
      <c r="A30" s="5">
        <v>4</v>
      </c>
      <c r="B30" s="18"/>
      <c r="H30" s="14"/>
      <c r="I30" s="18">
        <v>1294</v>
      </c>
      <c r="J30" s="5">
        <v>120</v>
      </c>
      <c r="K30" s="5">
        <v>0</v>
      </c>
      <c r="L30" s="5">
        <f t="shared" si="8"/>
        <v>3.9267154724424384E-3</v>
      </c>
      <c r="M30" s="5">
        <f>L30/(L30+L20+L10+L40)*100</f>
        <v>1.5817742098480765</v>
      </c>
      <c r="N30" s="2">
        <f>L30/(D4-D10)*100</f>
        <v>0.74702521130766197</v>
      </c>
      <c r="O30" s="2">
        <f t="shared" ref="O30:O31" si="11">E10*N30/100</f>
        <v>6.7999850429862591E-2</v>
      </c>
      <c r="R30" s="2"/>
    </row>
    <row r="31" spans="1:18" x14ac:dyDescent="0.25">
      <c r="G31" s="1"/>
      <c r="H31" s="14"/>
      <c r="I31" s="18">
        <v>1453</v>
      </c>
      <c r="J31" s="5">
        <v>240</v>
      </c>
      <c r="K31" s="5">
        <v>0</v>
      </c>
      <c r="L31" s="5">
        <f t="shared" si="8"/>
        <v>4.4092098774798014E-3</v>
      </c>
      <c r="M31" s="5">
        <f>L31/(L31+L21+L11+L41)*100</f>
        <v>1.1432584434864643</v>
      </c>
      <c r="N31" s="24">
        <f>L31/(D4-D11)*100</f>
        <v>0.47134175304177678</v>
      </c>
      <c r="O31" s="24">
        <f t="shared" si="11"/>
        <v>7.6355318913902889E-2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15922</v>
      </c>
      <c r="J36" s="5">
        <v>15</v>
      </c>
      <c r="K36" s="5">
        <v>0</v>
      </c>
      <c r="L36" s="5">
        <f t="shared" si="12"/>
        <v>4.8745914751287756E-2</v>
      </c>
      <c r="M36" s="5">
        <f t="shared" si="14"/>
        <v>62.521079224414123</v>
      </c>
      <c r="N36" s="2">
        <f>L36/(D4-D6)*100</f>
        <v>49.937997069353507</v>
      </c>
      <c r="O36" s="2">
        <f>E6*N36/100</f>
        <v>0.84414440909125232</v>
      </c>
      <c r="Q36" s="2"/>
      <c r="R36" s="2"/>
    </row>
    <row r="37" spans="1:18" x14ac:dyDescent="0.25">
      <c r="F37" s="1"/>
      <c r="G37" s="1"/>
      <c r="H37" s="13"/>
      <c r="I37" s="18">
        <v>31605</v>
      </c>
      <c r="J37" s="5">
        <v>30</v>
      </c>
      <c r="K37" s="5">
        <v>0</v>
      </c>
      <c r="L37" s="5">
        <f t="shared" si="12"/>
        <v>9.6760120318706816E-2</v>
      </c>
      <c r="M37" s="5">
        <f t="shared" si="14"/>
        <v>60.666404507576075</v>
      </c>
      <c r="N37" s="2">
        <f>L37/(D4-D7)*100</f>
        <v>42.699994109431586</v>
      </c>
      <c r="O37" s="2">
        <f t="shared" ref="O37:O41" si="15">E7*N37/100</f>
        <v>1.6756176390735478</v>
      </c>
      <c r="Q37" s="2"/>
      <c r="R37" s="2"/>
    </row>
    <row r="38" spans="1:18" x14ac:dyDescent="0.25">
      <c r="F38" s="1"/>
      <c r="G38" s="1"/>
      <c r="H38" s="13"/>
      <c r="I38" s="18">
        <v>33856</v>
      </c>
      <c r="J38" s="5">
        <v>45</v>
      </c>
      <c r="K38" s="5">
        <v>0</v>
      </c>
      <c r="L38" s="5">
        <f t="shared" si="12"/>
        <v>0.10365165744376326</v>
      </c>
      <c r="M38" s="5">
        <f t="shared" si="14"/>
        <v>61.165679921559743</v>
      </c>
      <c r="N38" s="2">
        <f>L38/(D4-D8)*100</f>
        <v>39.453491080279846</v>
      </c>
      <c r="O38" s="2">
        <f t="shared" si="15"/>
        <v>1.7949599996353123</v>
      </c>
    </row>
    <row r="39" spans="1:18" x14ac:dyDescent="0.25">
      <c r="F39" s="1"/>
      <c r="G39" s="1"/>
      <c r="H39" s="13"/>
      <c r="I39" s="18">
        <v>43840</v>
      </c>
      <c r="J39" s="5">
        <v>60</v>
      </c>
      <c r="K39" s="5">
        <v>0</v>
      </c>
      <c r="L39" s="5">
        <f t="shared" si="12"/>
        <v>0.13421811975232104</v>
      </c>
      <c r="M39" s="5">
        <f t="shared" si="14"/>
        <v>62.891305972000957</v>
      </c>
      <c r="N39" s="2">
        <f>L39/(D4-D9)*100</f>
        <v>38.43780699266869</v>
      </c>
      <c r="O39" s="2">
        <f t="shared" si="15"/>
        <v>2.3242865779776722</v>
      </c>
    </row>
    <row r="40" spans="1:18" x14ac:dyDescent="0.25">
      <c r="F40" s="1"/>
      <c r="G40" s="1"/>
      <c r="H40" s="13"/>
      <c r="I40" s="18">
        <v>53346</v>
      </c>
      <c r="J40" s="5">
        <v>120</v>
      </c>
      <c r="K40" s="5">
        <v>0</v>
      </c>
      <c r="L40" s="5">
        <f t="shared" si="12"/>
        <v>0.1633211636931414</v>
      </c>
      <c r="M40" s="5">
        <f t="shared" si="14"/>
        <v>65.789641868678601</v>
      </c>
      <c r="N40" s="2">
        <f>L40/(D4-D10)*100</f>
        <v>31.070503497161823</v>
      </c>
      <c r="O40" s="2">
        <f t="shared" si="15"/>
        <v>2.8282707981021202</v>
      </c>
    </row>
    <row r="41" spans="1:18" ht="20.25" x14ac:dyDescent="0.3">
      <c r="A41" s="19" t="s">
        <v>79</v>
      </c>
      <c r="B41" s="20"/>
      <c r="C41" s="20"/>
      <c r="D41" s="20"/>
      <c r="E41" s="20"/>
      <c r="F41" s="20"/>
      <c r="G41" s="20"/>
      <c r="H41" s="13"/>
      <c r="I41" s="18">
        <v>87278</v>
      </c>
      <c r="J41" s="5">
        <v>240</v>
      </c>
      <c r="K41" s="5">
        <v>0</v>
      </c>
      <c r="L41" s="5">
        <f t="shared" si="12"/>
        <v>0.26720549853428543</v>
      </c>
      <c r="M41" s="5">
        <f t="shared" si="14"/>
        <v>69.283375215502275</v>
      </c>
      <c r="N41" s="24">
        <f>L41/(D4-D11)*100</f>
        <v>28.564099147291945</v>
      </c>
      <c r="O41" s="24">
        <f t="shared" si="15"/>
        <v>4.6272601266591078</v>
      </c>
    </row>
    <row r="42" spans="1:18" ht="16.5" x14ac:dyDescent="0.3">
      <c r="A42" s="4" t="s">
        <v>57</v>
      </c>
      <c r="B42" s="4" t="s">
        <v>97</v>
      </c>
      <c r="C42" s="4" t="s">
        <v>61</v>
      </c>
      <c r="D42" s="4" t="s">
        <v>80</v>
      </c>
      <c r="E42" s="4" t="s">
        <v>81</v>
      </c>
      <c r="F42" s="4" t="s">
        <v>82</v>
      </c>
      <c r="G42" s="4" t="s">
        <v>84</v>
      </c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x14ac:dyDescent="0.25">
      <c r="A43" s="5">
        <v>0</v>
      </c>
      <c r="B43" s="1">
        <f>L35</f>
        <v>0</v>
      </c>
      <c r="C43" s="1">
        <v>0.13789999999999999</v>
      </c>
      <c r="D43" s="16">
        <f>C43</f>
        <v>0.13789999999999999</v>
      </c>
      <c r="E43" s="16">
        <v>1.55</v>
      </c>
      <c r="F43" s="16">
        <f>E43/100*0.2</f>
        <v>3.1000000000000003E-3</v>
      </c>
      <c r="G43" s="17">
        <f>D43/(F43*1)</f>
        <v>44.483870967741929</v>
      </c>
    </row>
    <row r="44" spans="1:18" x14ac:dyDescent="0.25">
      <c r="A44" s="5">
        <v>0.25</v>
      </c>
      <c r="B44" s="1">
        <f>L36</f>
        <v>4.8745914751287756E-2</v>
      </c>
      <c r="F44" s="1"/>
    </row>
    <row r="45" spans="1:18" x14ac:dyDescent="0.25">
      <c r="A45" s="5">
        <v>0.5</v>
      </c>
      <c r="F45" s="1"/>
      <c r="G45" s="1"/>
    </row>
    <row r="46" spans="1:18" x14ac:dyDescent="0.25">
      <c r="A46" s="5">
        <v>0.75</v>
      </c>
      <c r="B46" s="1">
        <f>L38</f>
        <v>0.10365165744376326</v>
      </c>
      <c r="F46" s="1"/>
      <c r="G46" s="1"/>
    </row>
    <row r="47" spans="1:18" x14ac:dyDescent="0.25">
      <c r="A47" s="5">
        <v>1</v>
      </c>
      <c r="B47" s="1">
        <f t="shared" ref="B47" si="16">L39</f>
        <v>0.13421811975232104</v>
      </c>
      <c r="F47" s="1"/>
      <c r="G47" s="1"/>
    </row>
    <row r="48" spans="1:18" x14ac:dyDescent="0.25">
      <c r="A48" s="5">
        <v>2</v>
      </c>
      <c r="F48" s="1"/>
      <c r="G48" s="1"/>
    </row>
    <row r="49" spans="1:7" x14ac:dyDescent="0.25">
      <c r="A49" s="5">
        <v>4</v>
      </c>
    </row>
    <row r="50" spans="1:7" x14ac:dyDescent="0.25">
      <c r="B50" s="18"/>
      <c r="G50" s="1"/>
    </row>
    <row r="51" spans="1:7" x14ac:dyDescent="0.25">
      <c r="F51" s="1"/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8.3900000000000002E-2</v>
      </c>
      <c r="D63" s="16">
        <f>C63</f>
        <v>8.3900000000000002E-2</v>
      </c>
      <c r="E63" s="16">
        <v>1.55</v>
      </c>
      <c r="F63" s="16">
        <f>E63/100*0.2</f>
        <v>3.1000000000000003E-3</v>
      </c>
      <c r="G63" s="17">
        <f>D63/F63</f>
        <v>27.064516129032256</v>
      </c>
    </row>
    <row r="64" spans="1:7" x14ac:dyDescent="0.25">
      <c r="A64" s="5">
        <v>0.25</v>
      </c>
      <c r="B64" s="18">
        <f t="shared" ref="B64:B67" si="17">L16</f>
        <v>2.5255088351412474E-2</v>
      </c>
      <c r="F64" s="1"/>
    </row>
    <row r="65" spans="1:7" x14ac:dyDescent="0.25">
      <c r="A65" s="5">
        <v>0.5</v>
      </c>
      <c r="B65" s="18">
        <f t="shared" si="17"/>
        <v>5.9160565755682473E-2</v>
      </c>
      <c r="F65" s="1"/>
      <c r="G65" s="1"/>
    </row>
    <row r="66" spans="1:7" x14ac:dyDescent="0.25">
      <c r="A66" s="5">
        <v>0.75</v>
      </c>
      <c r="B66" s="18">
        <f t="shared" si="17"/>
        <v>6.2036873778220709E-2</v>
      </c>
      <c r="F66" s="1"/>
      <c r="G66" s="1"/>
    </row>
    <row r="67" spans="1:7" x14ac:dyDescent="0.25">
      <c r="A67" s="5">
        <v>1</v>
      </c>
      <c r="B67" s="18">
        <f t="shared" si="17"/>
        <v>7.4928130629767331E-2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M26" sqref="M26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2302151</v>
      </c>
      <c r="B4" s="5" t="s">
        <v>33</v>
      </c>
      <c r="C4" s="5">
        <v>5.5549999999999997</v>
      </c>
      <c r="D4" s="5">
        <f t="shared" ref="D4:D11" si="0">A4/13346600*40</f>
        <v>6.8995879100295205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:O11" si="2">E4*N4/100</f>
        <v>#DIV/0!</v>
      </c>
    </row>
    <row r="5" spans="1:19" x14ac:dyDescent="0.25">
      <c r="A5" s="18">
        <v>2292050</v>
      </c>
      <c r="B5" s="5">
        <v>0</v>
      </c>
      <c r="C5" s="5">
        <v>5.5549999999999997</v>
      </c>
      <c r="D5" s="5">
        <f t="shared" si="0"/>
        <v>6.8693150315436133</v>
      </c>
      <c r="E5" s="2">
        <f>(D4-D5)/D4*100</f>
        <v>0.43876357371867558</v>
      </c>
      <c r="F5" s="8">
        <f>(L5+L15+L25+L35)/(E5/100*D4)*100</f>
        <v>0</v>
      </c>
      <c r="G5" s="5">
        <f>(L5+L15+L25+L35+D5)/D4*100</f>
        <v>99.561236426281326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 t="e">
        <f>L5/(L5+L15+L25+L35)*100</f>
        <v>#DIV/0!</v>
      </c>
      <c r="N5" s="2">
        <f>L5/(D4-D5)*100</f>
        <v>0</v>
      </c>
      <c r="O5" s="2">
        <f t="shared" si="2"/>
        <v>0</v>
      </c>
    </row>
    <row r="6" spans="1:19" x14ac:dyDescent="0.25">
      <c r="A6" s="18">
        <v>2217060</v>
      </c>
      <c r="B6" s="5">
        <v>15</v>
      </c>
      <c r="C6" s="5">
        <v>5.5549999999999997</v>
      </c>
      <c r="D6" s="5">
        <f t="shared" si="0"/>
        <v>6.6445686541890812</v>
      </c>
      <c r="E6" s="2">
        <f>(D4-D6)/D4*100</f>
        <v>3.6961519900302027</v>
      </c>
      <c r="F6" s="8">
        <f>(L6+L16+L26+L36)/(E6/100*D4)*100</f>
        <v>48.556281583767991</v>
      </c>
      <c r="G6" s="5">
        <f>(L6+L16+L26+L36+D6)/D4*100</f>
        <v>98.098561978012896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2"/>
        <v>0</v>
      </c>
    </row>
    <row r="7" spans="1:19" x14ac:dyDescent="0.25">
      <c r="A7" s="18">
        <v>2134800</v>
      </c>
      <c r="B7" s="5">
        <v>30</v>
      </c>
      <c r="C7" s="5">
        <v>5.5549999999999997</v>
      </c>
      <c r="D7" s="5">
        <f t="shared" si="0"/>
        <v>6.3980339562135677</v>
      </c>
      <c r="E7" s="2">
        <f>(D4-D7)/D4*100</f>
        <v>7.2693320290458745</v>
      </c>
      <c r="F7" s="8">
        <f>(L7+L17+L27+L37)/(E7/100*D4)*100</f>
        <v>40.306791502867476</v>
      </c>
      <c r="G7" s="5">
        <f>(L7+L17+L27+L37+D7)/D4*100</f>
        <v>95.66070247555281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2"/>
        <v>0</v>
      </c>
    </row>
    <row r="8" spans="1:19" x14ac:dyDescent="0.25">
      <c r="A8" s="18">
        <v>2102590</v>
      </c>
      <c r="B8" s="5">
        <v>45</v>
      </c>
      <c r="C8" s="5">
        <v>5.5549999999999997</v>
      </c>
      <c r="D8" s="5">
        <f t="shared" si="0"/>
        <v>6.3015000074925451</v>
      </c>
      <c r="E8" s="2">
        <f>(D4-D8)/D4*100</f>
        <v>8.6684583244105156</v>
      </c>
      <c r="F8" s="8">
        <f>(L8+L18+L28+L38)/(E8/100*D4)*100</f>
        <v>36.446567678964946</v>
      </c>
      <c r="G8" s="5">
        <f>(L8+L18+L28+L38+D8)/D4*100</f>
        <v>94.490897205518635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2"/>
        <v>0</v>
      </c>
      <c r="R8" s="2"/>
    </row>
    <row r="9" spans="1:19" x14ac:dyDescent="0.25">
      <c r="A9" s="18">
        <v>1993250</v>
      </c>
      <c r="B9" s="5">
        <v>60</v>
      </c>
      <c r="C9" s="5">
        <v>5.5549999999999997</v>
      </c>
      <c r="D9" s="5">
        <f t="shared" si="0"/>
        <v>5.9738060629673475</v>
      </c>
      <c r="E9" s="2">
        <f>(D4-D9)/D4*100</f>
        <v>13.417929579771265</v>
      </c>
      <c r="F9" s="23">
        <f>(L9+L19+L29+L39)/(E9/100*D4)*100</f>
        <v>25.787070558116099</v>
      </c>
      <c r="G9" s="5">
        <f>(L9+L19+L29+L39+D9)/D4*100</f>
        <v>90.042161388402675</v>
      </c>
      <c r="H9" s="13"/>
      <c r="I9" s="18">
        <v>0</v>
      </c>
      <c r="J9" s="5">
        <v>60</v>
      </c>
      <c r="K9" s="5">
        <v>0</v>
      </c>
      <c r="L9" s="5">
        <f t="shared" si="1"/>
        <v>0</v>
      </c>
      <c r="M9" s="5">
        <f>L9/(L9+L29+L19+L39)*100</f>
        <v>0</v>
      </c>
      <c r="N9" s="2">
        <f>L9/(D4-D9)*100</f>
        <v>0</v>
      </c>
      <c r="O9" s="2">
        <f t="shared" si="2"/>
        <v>0</v>
      </c>
      <c r="R9" s="2"/>
      <c r="S9" s="3"/>
    </row>
    <row r="10" spans="1:19" x14ac:dyDescent="0.25">
      <c r="A10" s="18">
        <v>1836570</v>
      </c>
      <c r="B10" s="5">
        <v>120</v>
      </c>
      <c r="C10" s="5">
        <v>5.5549999999999997</v>
      </c>
      <c r="D10" s="5">
        <f t="shared" si="0"/>
        <v>5.5042332878785603</v>
      </c>
      <c r="E10" s="2">
        <f>(D4-D10)/D4*100</f>
        <v>20.223738581874091</v>
      </c>
      <c r="F10" s="8">
        <f>(L10+L20+L30+L40)/(E10/100*D4)*100</f>
        <v>22.813991145445677</v>
      </c>
      <c r="G10" s="5">
        <f>(L10+L20+L30+L40+D10)/D4*100</f>
        <v>84.39010334747276</v>
      </c>
      <c r="H10" s="13"/>
      <c r="I10" s="18">
        <v>0</v>
      </c>
      <c r="J10" s="5">
        <v>120</v>
      </c>
      <c r="K10" s="5">
        <v>0</v>
      </c>
      <c r="L10" s="5">
        <f t="shared" si="1"/>
        <v>0</v>
      </c>
      <c r="M10" s="5">
        <f>L10/(L10+L30+L20+L40)*100</f>
        <v>0</v>
      </c>
      <c r="N10" s="2">
        <f>L10/(D4-D10)*100</f>
        <v>0</v>
      </c>
      <c r="O10" s="2">
        <f t="shared" si="2"/>
        <v>0</v>
      </c>
      <c r="R10" s="2"/>
      <c r="S10" s="3"/>
    </row>
    <row r="11" spans="1:19" x14ac:dyDescent="0.25">
      <c r="A11" s="18">
        <v>1668700</v>
      </c>
      <c r="B11" s="5">
        <v>240</v>
      </c>
      <c r="C11" s="5">
        <v>5.5549999999999997</v>
      </c>
      <c r="D11" s="5">
        <f t="shared" si="0"/>
        <v>5.0011238817376711</v>
      </c>
      <c r="E11" s="2">
        <f>(D4-D11)/D4*100</f>
        <v>27.515614744645333</v>
      </c>
      <c r="F11" s="23">
        <f>(L11+L21+L31+L41)/(E11/100*D4)*100</f>
        <v>23.310535917508204</v>
      </c>
      <c r="G11" s="5">
        <f>(L11+L21+L31+L41+D11)/D4*100</f>
        <v>78.898422513328399</v>
      </c>
      <c r="H11" s="13"/>
      <c r="I11" s="18">
        <v>0</v>
      </c>
      <c r="J11" s="5">
        <v>240</v>
      </c>
      <c r="K11" s="5">
        <v>0</v>
      </c>
      <c r="L11" s="5">
        <f t="shared" si="1"/>
        <v>0</v>
      </c>
      <c r="M11" s="5">
        <f>L11/(L11+L31+L21+L41)*100</f>
        <v>0</v>
      </c>
      <c r="N11" s="2">
        <f>L11/(D4-D11)*100</f>
        <v>0</v>
      </c>
      <c r="O11" s="2">
        <f t="shared" si="2"/>
        <v>0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67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3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4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0</v>
      </c>
      <c r="J15" s="5">
        <v>0</v>
      </c>
      <c r="K15" s="5">
        <v>0</v>
      </c>
      <c r="L15" s="5">
        <f t="shared" si="3"/>
        <v>0</v>
      </c>
      <c r="M15" s="5" t="e">
        <f t="shared" ref="M15" si="5">L15/(L5+L25+L35)*100</f>
        <v>#DIV/0!</v>
      </c>
      <c r="N15" s="2">
        <f>L15/(D4-D5)*100</f>
        <v>0</v>
      </c>
      <c r="O15" s="2">
        <f>E5*N15/100</f>
        <v>0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23106</v>
      </c>
      <c r="J16" s="5">
        <v>15</v>
      </c>
      <c r="K16" s="5">
        <v>0</v>
      </c>
      <c r="L16" s="5">
        <f t="shared" si="3"/>
        <v>7.0852849860094297E-2</v>
      </c>
      <c r="M16" s="5">
        <f t="shared" ref="M16:M21" si="6">L16/(L6+L16+L26+L36)*100</f>
        <v>57.218824024102531</v>
      </c>
      <c r="N16" s="2">
        <f>L16/(D4-D6)*100</f>
        <v>27.783333312063913</v>
      </c>
      <c r="O16" s="2">
        <f>E6*N16/100</f>
        <v>1.0269142271105745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41498</v>
      </c>
      <c r="J17" s="5">
        <v>30</v>
      </c>
      <c r="K17" s="5">
        <v>0</v>
      </c>
      <c r="L17" s="5">
        <f t="shared" si="3"/>
        <v>0.12725056537237917</v>
      </c>
      <c r="M17" s="5">
        <f t="shared" si="6"/>
        <v>62.945376178872046</v>
      </c>
      <c r="N17" s="2">
        <f>L17/(D4-D7)*100</f>
        <v>25.371261537113565</v>
      </c>
      <c r="O17" s="2">
        <f t="shared" ref="O17:O20" si="7">E7*N17/100</f>
        <v>1.8443212410903931</v>
      </c>
      <c r="R17" s="2"/>
    </row>
    <row r="18" spans="1:18" ht="18" x14ac:dyDescent="0.25">
      <c r="A18" s="1" t="s">
        <v>38</v>
      </c>
      <c r="C18" s="18" t="s">
        <v>76</v>
      </c>
      <c r="F18" s="1"/>
      <c r="G18" s="1"/>
      <c r="H18" s="13"/>
      <c r="I18" s="18">
        <v>46997</v>
      </c>
      <c r="J18" s="5">
        <v>45</v>
      </c>
      <c r="K18" s="5">
        <v>0</v>
      </c>
      <c r="L18" s="5">
        <f t="shared" si="3"/>
        <v>0.14411284449384798</v>
      </c>
      <c r="M18" s="5">
        <f t="shared" si="6"/>
        <v>66.112112872739871</v>
      </c>
      <c r="N18" s="2">
        <f>L18/(D4-D8)*100</f>
        <v>24.095595962156839</v>
      </c>
      <c r="O18" s="2">
        <f t="shared" si="7"/>
        <v>2.0887166939979083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52829</v>
      </c>
      <c r="J19" s="5">
        <v>60</v>
      </c>
      <c r="K19" s="5">
        <v>0</v>
      </c>
      <c r="L19" s="5">
        <f t="shared" si="3"/>
        <v>0.1619962436275825</v>
      </c>
      <c r="M19" s="5">
        <f t="shared" si="6"/>
        <v>67.856940558666338</v>
      </c>
      <c r="N19" s="2">
        <f>L19/(D4-D9)*100</f>
        <v>17.49831714044219</v>
      </c>
      <c r="O19" s="2">
        <f t="shared" si="7"/>
        <v>2.3479118715495777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68703</v>
      </c>
      <c r="J20" s="5">
        <v>120</v>
      </c>
      <c r="K20" s="5">
        <v>0</v>
      </c>
      <c r="L20" s="5">
        <f t="shared" si="3"/>
        <v>0.21067269730537774</v>
      </c>
      <c r="M20" s="5">
        <f t="shared" si="6"/>
        <v>66.179333910789737</v>
      </c>
      <c r="N20" s="2">
        <f>L20/(D4-D10)*100</f>
        <v>15.0981473785225</v>
      </c>
      <c r="O20" s="2">
        <f t="shared" si="7"/>
        <v>3.0534098565384666</v>
      </c>
      <c r="R20" s="2"/>
    </row>
    <row r="21" spans="1:18" x14ac:dyDescent="0.25">
      <c r="A21" s="1" t="s">
        <v>66</v>
      </c>
      <c r="F21" s="1"/>
      <c r="G21" s="1"/>
      <c r="H21" s="13"/>
      <c r="I21" s="18">
        <v>95640</v>
      </c>
      <c r="J21" s="5">
        <v>240</v>
      </c>
      <c r="K21" s="5">
        <v>0</v>
      </c>
      <c r="L21" s="5">
        <f t="shared" si="3"/>
        <v>0.29327302694622254</v>
      </c>
      <c r="M21" s="5">
        <f t="shared" si="6"/>
        <v>66.270079382512719</v>
      </c>
      <c r="N21" s="24">
        <f>L21/(D4-D11)*100</f>
        <v>15.447910657021829</v>
      </c>
      <c r="O21" s="24">
        <f>E11*N21/100</f>
        <v>4.2505875824831358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68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13.067</v>
      </c>
      <c r="D24" s="16">
        <f>C24/100*5.5555</f>
        <v>0.72593718500000004</v>
      </c>
      <c r="E24" s="16">
        <v>1.55</v>
      </c>
      <c r="F24" s="16">
        <f>E24/100*0.2</f>
        <v>3.1000000000000003E-3</v>
      </c>
      <c r="G24" s="17">
        <f>D24/(F24*1)</f>
        <v>234.17328548387096</v>
      </c>
      <c r="H24" s="14"/>
      <c r="I24" s="18">
        <v>0</v>
      </c>
      <c r="J24" s="5" t="s">
        <v>33</v>
      </c>
      <c r="K24" s="5">
        <v>0</v>
      </c>
      <c r="L24" s="5">
        <f t="shared" ref="L24:L31" si="8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9">E4*N24/100</f>
        <v>#DIV/0!</v>
      </c>
      <c r="R24" s="2"/>
    </row>
    <row r="25" spans="1:18" x14ac:dyDescent="0.25">
      <c r="A25" s="5">
        <v>0.25</v>
      </c>
      <c r="B25" s="18">
        <v>3.7</v>
      </c>
      <c r="F25" s="1"/>
      <c r="H25" s="14"/>
      <c r="I25" s="18">
        <v>0</v>
      </c>
      <c r="J25" s="5">
        <v>0</v>
      </c>
      <c r="K25" s="5">
        <v>0</v>
      </c>
      <c r="L25" s="5">
        <f t="shared" si="8"/>
        <v>0</v>
      </c>
      <c r="M25" s="5" t="e">
        <f>L25/(L25+L15+L5+L35)*100</f>
        <v>#DIV/0!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7.3</v>
      </c>
      <c r="F26" s="1"/>
      <c r="G26" s="1"/>
      <c r="H26" s="14"/>
      <c r="I26" s="18">
        <v>1547</v>
      </c>
      <c r="J26" s="5">
        <v>15</v>
      </c>
      <c r="K26" s="5">
        <v>0</v>
      </c>
      <c r="L26" s="5">
        <f t="shared" si="8"/>
        <v>4.694458142093085E-3</v>
      </c>
      <c r="M26" s="5">
        <f>L26/(L26+L16+L6+L36)*100</f>
        <v>3.7911160221690205</v>
      </c>
      <c r="N26" s="2">
        <f>L26/(D4-D6)*100</f>
        <v>1.8408249708917339</v>
      </c>
      <c r="O26" s="2">
        <f>E6*N26/100</f>
        <v>6.8039688794587716E-2</v>
      </c>
      <c r="R26" s="2"/>
    </row>
    <row r="27" spans="1:18" x14ac:dyDescent="0.25">
      <c r="A27" s="5">
        <v>0.75</v>
      </c>
      <c r="B27" s="18">
        <v>8.6999999999999993</v>
      </c>
      <c r="F27" s="1"/>
      <c r="G27" s="1"/>
      <c r="H27" s="14"/>
      <c r="I27" s="18">
        <v>1820</v>
      </c>
      <c r="J27" s="5">
        <v>30</v>
      </c>
      <c r="K27" s="5">
        <v>0</v>
      </c>
      <c r="L27" s="5">
        <f t="shared" si="8"/>
        <v>5.5228919318742178E-3</v>
      </c>
      <c r="M27" s="5">
        <f t="shared" ref="M27" si="10">L27/(L27+L17+L7+L37)*100</f>
        <v>2.7319368619680677</v>
      </c>
      <c r="N27" s="2">
        <f>L27/(D4-D7)*100</f>
        <v>1.1011560949434496</v>
      </c>
      <c r="O27" s="2">
        <f>E7*N27/100</f>
        <v>8.0046692699514976E-2</v>
      </c>
      <c r="R27" s="2"/>
    </row>
    <row r="28" spans="1:18" x14ac:dyDescent="0.25">
      <c r="A28" s="5">
        <v>1</v>
      </c>
      <c r="B28" s="18">
        <v>13.4</v>
      </c>
      <c r="F28" s="1"/>
      <c r="G28" s="1"/>
      <c r="H28" s="14"/>
      <c r="I28" s="18">
        <v>1675</v>
      </c>
      <c r="J28" s="5">
        <v>45</v>
      </c>
      <c r="K28" s="5">
        <v>0</v>
      </c>
      <c r="L28" s="5">
        <f t="shared" si="8"/>
        <v>5.0828813109281955E-3</v>
      </c>
      <c r="M28" s="5">
        <f>L28/(L28+L18+L8+L38)*100</f>
        <v>2.3317839858554041</v>
      </c>
      <c r="N28" s="2">
        <f>L28/(D4-D8)*100</f>
        <v>0.84985522853205653</v>
      </c>
      <c r="O28" s="2">
        <f>E8*N28/100</f>
        <v>7.3669346303125063E-2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1543</v>
      </c>
      <c r="J29" s="5">
        <v>60</v>
      </c>
      <c r="K29" s="5">
        <v>0</v>
      </c>
      <c r="L29" s="5">
        <f t="shared" si="8"/>
        <v>4.6823199180669878E-3</v>
      </c>
      <c r="M29" s="5">
        <f>L29/(L29+L19+L9+L39)*100</f>
        <v>1.9613288385091459</v>
      </c>
      <c r="N29" s="2">
        <f>L29/(D4-D9)*100</f>
        <v>0.50576925146303231</v>
      </c>
      <c r="O29" s="2">
        <f>E9*N29/100</f>
        <v>6.7863761997445926E-2</v>
      </c>
      <c r="R29" s="2"/>
    </row>
    <row r="30" spans="1:18" x14ac:dyDescent="0.25">
      <c r="A30" s="5">
        <v>4</v>
      </c>
      <c r="H30" s="14"/>
      <c r="I30" s="18">
        <v>1207</v>
      </c>
      <c r="J30" s="5">
        <v>120</v>
      </c>
      <c r="K30" s="5">
        <v>0</v>
      </c>
      <c r="L30" s="5">
        <f t="shared" si="8"/>
        <v>3.6627090998748247E-3</v>
      </c>
      <c r="M30" s="5">
        <f>L30/(L30+L20+L10+L40)*100</f>
        <v>1.1505793187208442</v>
      </c>
      <c r="N30" s="2">
        <f>L30/(D4-D10)*100</f>
        <v>0.2624930638943026</v>
      </c>
      <c r="O30" s="2">
        <f t="shared" ref="O30:O31" si="11">E10*N30/100</f>
        <v>5.3085911037535488E-2</v>
      </c>
      <c r="R30" s="2"/>
    </row>
    <row r="31" spans="1:18" x14ac:dyDescent="0.25">
      <c r="G31" s="1"/>
      <c r="H31" s="14"/>
      <c r="I31" s="18">
        <v>1345</v>
      </c>
      <c r="J31" s="5">
        <v>240</v>
      </c>
      <c r="K31" s="5">
        <v>0</v>
      </c>
      <c r="L31" s="5">
        <f t="shared" si="8"/>
        <v>4.081477828775177E-3</v>
      </c>
      <c r="M31" s="5">
        <f>L31/(L31+L21+L11+L41)*100</f>
        <v>0.9222800423459826</v>
      </c>
      <c r="N31" s="24">
        <f>L31/(D4-D11)*100</f>
        <v>0.2149884205310702</v>
      </c>
      <c r="O31" s="24">
        <f t="shared" si="11"/>
        <v>5.9155385538927269E-2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2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3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2"/>
        <v>0</v>
      </c>
      <c r="M35" s="5" t="e">
        <f t="shared" ref="M35:M41" si="14">L35/(L5+L15+L25+L35)*100</f>
        <v>#DIV/0!</v>
      </c>
      <c r="N35" s="2">
        <f>L35/(D4-D5)*100</f>
        <v>0</v>
      </c>
      <c r="O35" s="2">
        <f t="shared" si="13"/>
        <v>0</v>
      </c>
      <c r="Q35" s="2"/>
      <c r="R35" s="2"/>
    </row>
    <row r="36" spans="1:18" x14ac:dyDescent="0.25">
      <c r="F36" s="1"/>
      <c r="G36" s="1"/>
      <c r="H36" s="13"/>
      <c r="I36" s="18">
        <v>15770</v>
      </c>
      <c r="J36" s="5">
        <v>15</v>
      </c>
      <c r="K36" s="5">
        <v>0</v>
      </c>
      <c r="L36" s="5">
        <f t="shared" si="12"/>
        <v>4.8280559956526067E-2</v>
      </c>
      <c r="M36" s="5">
        <f t="shared" si="14"/>
        <v>38.990059953728448</v>
      </c>
      <c r="N36" s="2">
        <f>L36/(D4-D6)*100</f>
        <v>18.932123300812343</v>
      </c>
      <c r="O36" s="2">
        <f>E6*N36/100</f>
        <v>0.69976005213794712</v>
      </c>
      <c r="Q36" s="2"/>
      <c r="R36" s="2"/>
    </row>
    <row r="37" spans="1:18" x14ac:dyDescent="0.25">
      <c r="F37" s="1"/>
      <c r="G37" s="1"/>
      <c r="H37" s="13"/>
      <c r="I37" s="18">
        <v>22664</v>
      </c>
      <c r="J37" s="5">
        <v>30</v>
      </c>
      <c r="K37" s="5">
        <v>0</v>
      </c>
      <c r="L37" s="5">
        <f t="shared" si="12"/>
        <v>6.9386849134730921E-2</v>
      </c>
      <c r="M37" s="5">
        <f t="shared" si="14"/>
        <v>34.322686959159881</v>
      </c>
      <c r="N37" s="2">
        <f>L37/(D4-D7)*100</f>
        <v>13.834373870810456</v>
      </c>
      <c r="O37" s="2">
        <f t="shared" ref="O37:O41" si="15">E7*N37/100</f>
        <v>1.005666570808778</v>
      </c>
      <c r="Q37" s="2"/>
      <c r="R37" s="2"/>
    </row>
    <row r="38" spans="1:18" x14ac:dyDescent="0.25">
      <c r="F38" s="1"/>
      <c r="G38" s="1"/>
      <c r="H38" s="13"/>
      <c r="I38" s="18">
        <v>22468</v>
      </c>
      <c r="J38" s="5">
        <v>45</v>
      </c>
      <c r="K38" s="5">
        <v>0</v>
      </c>
      <c r="L38" s="5">
        <f t="shared" si="12"/>
        <v>6.878678637306454E-2</v>
      </c>
      <c r="M38" s="5">
        <f t="shared" si="14"/>
        <v>31.55610314140473</v>
      </c>
      <c r="N38" s="2">
        <f>L38/(D4-D8)*100</f>
        <v>11.501116488276061</v>
      </c>
      <c r="O38" s="2">
        <f t="shared" si="15"/>
        <v>0.9969694896281166</v>
      </c>
    </row>
    <row r="39" spans="1:18" x14ac:dyDescent="0.25">
      <c r="F39" s="1"/>
      <c r="G39" s="1"/>
      <c r="H39" s="13"/>
      <c r="I39" s="18">
        <v>23535</v>
      </c>
      <c r="J39" s="5">
        <v>60</v>
      </c>
      <c r="K39" s="5">
        <v>0</v>
      </c>
      <c r="L39" s="5">
        <f t="shared" si="12"/>
        <v>7.205345457050355E-2</v>
      </c>
      <c r="M39" s="5">
        <f t="shared" si="14"/>
        <v>30.181730602824526</v>
      </c>
      <c r="N39" s="2">
        <f>L39/(D4-D9)*100</f>
        <v>7.7829841662108796</v>
      </c>
      <c r="O39" s="2">
        <f t="shared" si="15"/>
        <v>1.0443153346269236</v>
      </c>
    </row>
    <row r="40" spans="1:18" x14ac:dyDescent="0.25">
      <c r="F40" s="1"/>
      <c r="G40" s="1"/>
      <c r="H40" s="13"/>
      <c r="I40" s="18">
        <v>33970</v>
      </c>
      <c r="J40" s="5">
        <v>120</v>
      </c>
      <c r="K40" s="5">
        <v>0</v>
      </c>
      <c r="L40" s="5">
        <f t="shared" si="12"/>
        <v>0.10400067353983453</v>
      </c>
      <c r="M40" s="5">
        <f t="shared" si="14"/>
        <v>32.670086770489426</v>
      </c>
      <c r="N40" s="2">
        <f>L40/(D4-D10)*100</f>
        <v>7.4533507030288773</v>
      </c>
      <c r="O40" s="2">
        <f t="shared" si="15"/>
        <v>1.507346161770835</v>
      </c>
    </row>
    <row r="41" spans="1:18" ht="20.25" x14ac:dyDescent="0.3">
      <c r="A41" s="19" t="s">
        <v>79</v>
      </c>
      <c r="B41" s="20"/>
      <c r="C41" s="20"/>
      <c r="D41" s="20"/>
      <c r="E41" s="20"/>
      <c r="F41" s="20"/>
      <c r="G41" s="20"/>
      <c r="H41" s="13"/>
      <c r="I41" s="18">
        <v>47423</v>
      </c>
      <c r="J41" s="5">
        <v>240</v>
      </c>
      <c r="K41" s="5">
        <v>0</v>
      </c>
      <c r="L41" s="5">
        <f t="shared" si="12"/>
        <v>0.14518763442094709</v>
      </c>
      <c r="M41" s="5">
        <f t="shared" si="14"/>
        <v>32.807640575141306</v>
      </c>
      <c r="N41" s="24">
        <f>L41/(D4-D11)*100</f>
        <v>7.6476368399553101</v>
      </c>
      <c r="O41" s="24">
        <f t="shared" si="15"/>
        <v>2.1042942899516719</v>
      </c>
    </row>
    <row r="42" spans="1:18" ht="16.5" x14ac:dyDescent="0.3">
      <c r="A42" s="4" t="s">
        <v>57</v>
      </c>
      <c r="B42" s="4" t="s">
        <v>97</v>
      </c>
      <c r="C42" s="4" t="s">
        <v>61</v>
      </c>
      <c r="D42" s="4" t="s">
        <v>80</v>
      </c>
      <c r="E42" s="4" t="s">
        <v>81</v>
      </c>
      <c r="F42" s="4" t="s">
        <v>82</v>
      </c>
      <c r="G42" s="4" t="s">
        <v>84</v>
      </c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x14ac:dyDescent="0.25">
      <c r="A43" s="5">
        <v>0</v>
      </c>
      <c r="B43" s="1">
        <f>L35</f>
        <v>0</v>
      </c>
      <c r="C43" s="1">
        <v>0.1124</v>
      </c>
      <c r="D43" s="16">
        <f>C43</f>
        <v>0.1124</v>
      </c>
      <c r="E43" s="16">
        <v>1.55</v>
      </c>
      <c r="F43" s="16">
        <f>E43/100*0.2</f>
        <v>3.1000000000000003E-3</v>
      </c>
      <c r="G43" s="17">
        <f>D43/(F43*1)</f>
        <v>36.258064516129025</v>
      </c>
    </row>
    <row r="44" spans="1:18" x14ac:dyDescent="0.25">
      <c r="A44" s="5">
        <v>0.25</v>
      </c>
      <c r="B44" s="1">
        <f t="shared" ref="B44:B46" si="16">L36</f>
        <v>4.8280559956526067E-2</v>
      </c>
      <c r="F44" s="1"/>
    </row>
    <row r="45" spans="1:18" x14ac:dyDescent="0.25">
      <c r="A45" s="5">
        <v>0.5</v>
      </c>
      <c r="B45" s="1">
        <f t="shared" si="16"/>
        <v>6.9386849134730921E-2</v>
      </c>
      <c r="F45" s="1"/>
      <c r="G45" s="1"/>
    </row>
    <row r="46" spans="1:18" x14ac:dyDescent="0.25">
      <c r="A46" s="5">
        <v>0.75</v>
      </c>
      <c r="B46" s="1">
        <f t="shared" si="16"/>
        <v>6.878678637306454E-2</v>
      </c>
      <c r="F46" s="1"/>
      <c r="G46" s="1"/>
    </row>
    <row r="47" spans="1:18" x14ac:dyDescent="0.25">
      <c r="A47" s="5">
        <v>1</v>
      </c>
      <c r="F47" s="1"/>
      <c r="G47" s="1"/>
    </row>
    <row r="48" spans="1:18" x14ac:dyDescent="0.25">
      <c r="A48" s="5">
        <v>2</v>
      </c>
      <c r="F48" s="1"/>
      <c r="G48" s="1"/>
    </row>
    <row r="49" spans="1:7" x14ac:dyDescent="0.25">
      <c r="A49" s="5">
        <v>4</v>
      </c>
    </row>
    <row r="50" spans="1:7" x14ac:dyDescent="0.25">
      <c r="B50" s="18"/>
      <c r="G50" s="1"/>
    </row>
    <row r="51" spans="1:7" x14ac:dyDescent="0.25">
      <c r="F51" s="1"/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D59" s="5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0</v>
      </c>
      <c r="C63" s="1">
        <v>0.18740000000000001</v>
      </c>
      <c r="D63" s="16">
        <f>C63</f>
        <v>0.18740000000000001</v>
      </c>
      <c r="E63" s="16">
        <v>1.55</v>
      </c>
      <c r="F63" s="16">
        <f>E63/100*0.2</f>
        <v>3.1000000000000003E-3</v>
      </c>
      <c r="G63" s="17">
        <f>D63/F63</f>
        <v>60.451612903225801</v>
      </c>
    </row>
    <row r="64" spans="1:7" x14ac:dyDescent="0.25">
      <c r="A64" s="5">
        <v>0.25</v>
      </c>
      <c r="B64" s="18">
        <f t="shared" ref="B64:B67" si="17">L16</f>
        <v>7.0852849860094297E-2</v>
      </c>
      <c r="F64" s="1"/>
    </row>
    <row r="65" spans="1:7" x14ac:dyDescent="0.25">
      <c r="A65" s="5">
        <v>0.5</v>
      </c>
      <c r="B65" s="18">
        <f t="shared" si="17"/>
        <v>0.12725056537237917</v>
      </c>
      <c r="F65" s="1"/>
      <c r="G65" s="1"/>
    </row>
    <row r="66" spans="1:7" x14ac:dyDescent="0.25">
      <c r="A66" s="5">
        <v>0.75</v>
      </c>
      <c r="B66" s="18">
        <f t="shared" si="17"/>
        <v>0.14411284449384798</v>
      </c>
      <c r="F66" s="1"/>
      <c r="G66" s="1"/>
    </row>
    <row r="67" spans="1:7" x14ac:dyDescent="0.25">
      <c r="A67" s="5">
        <v>1</v>
      </c>
      <c r="B67" s="18">
        <f t="shared" si="17"/>
        <v>0.1619962436275825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zoomScale="85" zoomScaleNormal="85" workbookViewId="0">
      <selection activeCell="A6" sqref="A6:XFD6"/>
    </sheetView>
  </sheetViews>
  <sheetFormatPr defaultRowHeight="15" x14ac:dyDescent="0.25"/>
  <cols>
    <col min="1" max="1" width="13.140625" style="1" customWidth="1"/>
    <col min="2" max="2" width="7.28515625" style="1" customWidth="1"/>
    <col min="3" max="3" width="9.7109375" style="1" customWidth="1"/>
    <col min="4" max="4" width="21.140625" style="1" customWidth="1"/>
    <col min="5" max="5" width="14" style="1" customWidth="1"/>
    <col min="6" max="6" width="24.28515625" style="2" customWidth="1"/>
    <col min="7" max="7" width="23" style="2" customWidth="1"/>
    <col min="8" max="8" width="3.85546875" style="1" customWidth="1"/>
    <col min="9" max="9" width="13" style="1" customWidth="1"/>
    <col min="10" max="10" width="7" style="1" customWidth="1"/>
    <col min="11" max="11" width="15.28515625" style="1" customWidth="1"/>
    <col min="12" max="12" width="18.140625" style="1" customWidth="1"/>
    <col min="13" max="13" width="15.42578125" style="1" customWidth="1"/>
    <col min="14" max="14" width="15.28515625" style="1" customWidth="1"/>
    <col min="15" max="15" width="17.85546875" style="1" customWidth="1"/>
    <col min="16" max="16384" width="9.140625" style="1"/>
  </cols>
  <sheetData>
    <row r="1" spans="1:19" ht="21.75" customHeight="1" x14ac:dyDescent="0.3">
      <c r="A1" s="21" t="s">
        <v>36</v>
      </c>
      <c r="B1" s="22"/>
      <c r="C1" s="22"/>
      <c r="D1" s="22"/>
      <c r="E1" s="22"/>
      <c r="F1" s="22"/>
      <c r="G1" s="22"/>
      <c r="H1" s="13"/>
      <c r="I1" s="11" t="s">
        <v>35</v>
      </c>
      <c r="J1" s="12"/>
      <c r="K1" s="12"/>
      <c r="L1" s="12"/>
      <c r="M1" s="12"/>
      <c r="N1" s="12"/>
      <c r="O1" s="12"/>
    </row>
    <row r="2" spans="1:19" x14ac:dyDescent="0.25">
      <c r="A2" s="7" t="s">
        <v>0</v>
      </c>
      <c r="B2" s="4" t="s">
        <v>1</v>
      </c>
      <c r="C2" s="4" t="s">
        <v>39</v>
      </c>
      <c r="D2" s="4" t="s">
        <v>40</v>
      </c>
      <c r="E2" s="4" t="s">
        <v>41</v>
      </c>
      <c r="F2" s="4" t="s">
        <v>42</v>
      </c>
      <c r="G2" s="4" t="s">
        <v>43</v>
      </c>
      <c r="H2" s="13"/>
      <c r="I2" s="7" t="s">
        <v>27</v>
      </c>
      <c r="J2" s="4" t="s">
        <v>1</v>
      </c>
      <c r="K2" s="15" t="s">
        <v>28</v>
      </c>
      <c r="L2" s="4" t="s">
        <v>32</v>
      </c>
      <c r="M2" s="4" t="s">
        <v>44</v>
      </c>
      <c r="N2" s="4" t="s">
        <v>44</v>
      </c>
      <c r="O2" s="4" t="s">
        <v>29</v>
      </c>
    </row>
    <row r="3" spans="1:19" x14ac:dyDescent="0.25">
      <c r="A3" s="4" t="s">
        <v>3</v>
      </c>
      <c r="B3" s="4" t="s">
        <v>34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13"/>
      <c r="I3" s="4" t="s">
        <v>3</v>
      </c>
      <c r="J3" s="4" t="s">
        <v>34</v>
      </c>
      <c r="K3" s="4" t="s">
        <v>4</v>
      </c>
      <c r="L3" s="4" t="s">
        <v>5</v>
      </c>
      <c r="M3" s="4" t="s">
        <v>30</v>
      </c>
      <c r="N3" s="4" t="s">
        <v>14</v>
      </c>
      <c r="O3" s="4" t="s">
        <v>14</v>
      </c>
    </row>
    <row r="4" spans="1:19" x14ac:dyDescent="0.25">
      <c r="A4" s="18">
        <v>2233840</v>
      </c>
      <c r="B4" s="5" t="s">
        <v>33</v>
      </c>
      <c r="C4" s="5">
        <v>5.5549999999999997</v>
      </c>
      <c r="D4" s="5">
        <f t="shared" ref="D4:D11" si="0">A4/13346600*40</f>
        <v>6.6948586156774015</v>
      </c>
      <c r="E4" s="2">
        <f>(D4-D4)/D4*100</f>
        <v>0</v>
      </c>
      <c r="F4" s="8" t="e">
        <f>(L4+L14+L24+L34)/(E4/100*D4)*100</f>
        <v>#DIV/0!</v>
      </c>
      <c r="G4" s="5">
        <f>(L4+L14+L24+L34+D4)/D4*100</f>
        <v>100</v>
      </c>
      <c r="H4" s="13"/>
      <c r="I4" s="18">
        <v>0</v>
      </c>
      <c r="J4" s="5" t="s">
        <v>33</v>
      </c>
      <c r="K4" s="5">
        <v>0</v>
      </c>
      <c r="L4" s="5">
        <f t="shared" ref="L4:L11" si="1">I4/13905200*40</f>
        <v>0</v>
      </c>
      <c r="M4" s="5" t="e">
        <f>L4/(L4+L14+L24+L34)*100</f>
        <v>#DIV/0!</v>
      </c>
      <c r="N4" s="2" t="e">
        <f>L4/(D4-D4)*100</f>
        <v>#DIV/0!</v>
      </c>
      <c r="O4" s="2" t="e">
        <f t="shared" ref="O4" si="2">E4*N4/100</f>
        <v>#DIV/0!</v>
      </c>
    </row>
    <row r="5" spans="1:19" x14ac:dyDescent="0.25">
      <c r="A5" s="18">
        <v>2223630</v>
      </c>
      <c r="B5" s="5">
        <v>0</v>
      </c>
      <c r="C5" s="5">
        <v>5.5549999999999997</v>
      </c>
      <c r="D5" s="5">
        <f t="shared" si="0"/>
        <v>6.6642590622330777</v>
      </c>
      <c r="E5" s="2">
        <f>(D4-D5)/D4*100</f>
        <v>0.45706048776995134</v>
      </c>
      <c r="F5" s="8">
        <f>(L5+L15+L25+L35)/(E5/100*D4)*100</f>
        <v>30.474310325285508</v>
      </c>
      <c r="G5" s="5">
        <f>(L5+L15+L25+L35+D5)/D4*100</f>
        <v>99.682225543647334</v>
      </c>
      <c r="H5" s="13"/>
      <c r="I5" s="18">
        <v>0</v>
      </c>
      <c r="J5" s="5">
        <v>0</v>
      </c>
      <c r="K5" s="5">
        <v>0</v>
      </c>
      <c r="L5" s="5">
        <f t="shared" si="1"/>
        <v>0</v>
      </c>
      <c r="M5" s="5">
        <f>L5/(L5+L15+L25+L35)*100</f>
        <v>0</v>
      </c>
      <c r="N5" s="2">
        <f>L5/(D4-D5)*100</f>
        <v>0</v>
      </c>
      <c r="O5" s="2">
        <f t="shared" ref="O5:O11" si="3">E5*N5/100</f>
        <v>0</v>
      </c>
    </row>
    <row r="6" spans="1:19" x14ac:dyDescent="0.25">
      <c r="A6" s="18">
        <v>2040470</v>
      </c>
      <c r="B6" s="5">
        <v>15</v>
      </c>
      <c r="C6" s="5">
        <v>5.5549999999999997</v>
      </c>
      <c r="D6" s="5">
        <f t="shared" si="0"/>
        <v>6.1153252513748821</v>
      </c>
      <c r="E6" s="2">
        <f>(D4-D6)/D4*100</f>
        <v>8.6563943702324302</v>
      </c>
      <c r="F6" s="8">
        <f>(L6+L16+L26+L36)/(E6/100*D4)*100</f>
        <v>29.028981617974388</v>
      </c>
      <c r="G6" s="5">
        <f>(L6+L16+L26+L36+D6)/D4*100</f>
        <v>93.856468760281714</v>
      </c>
      <c r="H6" s="13"/>
      <c r="I6" s="18">
        <v>0</v>
      </c>
      <c r="J6" s="5">
        <v>15</v>
      </c>
      <c r="K6" s="5">
        <v>0</v>
      </c>
      <c r="L6" s="5">
        <f t="shared" si="1"/>
        <v>0</v>
      </c>
      <c r="M6" s="5">
        <f>L6/(L6+L16+L26+L36)*100</f>
        <v>0</v>
      </c>
      <c r="N6" s="2">
        <f>L6/(D4-D6)*100</f>
        <v>0</v>
      </c>
      <c r="O6" s="2">
        <f t="shared" si="3"/>
        <v>0</v>
      </c>
    </row>
    <row r="7" spans="1:19" x14ac:dyDescent="0.25">
      <c r="A7" s="18">
        <v>1935410</v>
      </c>
      <c r="B7" s="5">
        <v>30</v>
      </c>
      <c r="C7" s="5">
        <v>5.5549999999999997</v>
      </c>
      <c r="D7" s="5">
        <f t="shared" si="0"/>
        <v>5.8004585437489702</v>
      </c>
      <c r="E7" s="2">
        <f>(D4-D7)/D4*100</f>
        <v>13.359506500017906</v>
      </c>
      <c r="F7" s="8">
        <f>(L7+L17+L27+L37)/(E7/100*D4)*100</f>
        <v>23.041422012256522</v>
      </c>
      <c r="G7" s="5">
        <f>(L7+L17+L27+L37+D7)/D4*100</f>
        <v>89.718713771406073</v>
      </c>
      <c r="H7" s="13"/>
      <c r="I7" s="18">
        <v>0</v>
      </c>
      <c r="J7" s="5">
        <v>30</v>
      </c>
      <c r="K7" s="5">
        <v>0</v>
      </c>
      <c r="L7" s="5">
        <f t="shared" si="1"/>
        <v>0</v>
      </c>
      <c r="M7" s="5">
        <f>L7/(L7+L17+L27+L37)*100</f>
        <v>0</v>
      </c>
      <c r="N7" s="2">
        <f>L7/(D4-D7)*100</f>
        <v>0</v>
      </c>
      <c r="O7" s="2">
        <f t="shared" si="3"/>
        <v>0</v>
      </c>
    </row>
    <row r="8" spans="1:19" x14ac:dyDescent="0.25">
      <c r="A8" s="18">
        <v>1849810</v>
      </c>
      <c r="B8" s="5">
        <v>45</v>
      </c>
      <c r="C8" s="5">
        <v>5.5549999999999997</v>
      </c>
      <c r="D8" s="5">
        <f t="shared" si="0"/>
        <v>5.5439138057632658</v>
      </c>
      <c r="E8" s="2">
        <f>(D4-D8)/D4*100</f>
        <v>17.191472979264407</v>
      </c>
      <c r="F8" s="8">
        <f>(L8+L18+L28+L38)/(E8/100*D4)*100</f>
        <v>21.422563619907709</v>
      </c>
      <c r="G8" s="5">
        <f>(L8+L18+L28+L38+D8)/D4*100</f>
        <v>86.491381256917748</v>
      </c>
      <c r="H8" s="13"/>
      <c r="I8" s="18">
        <v>0</v>
      </c>
      <c r="J8" s="5">
        <v>45</v>
      </c>
      <c r="K8" s="5">
        <v>0</v>
      </c>
      <c r="L8" s="5">
        <f t="shared" si="1"/>
        <v>0</v>
      </c>
      <c r="M8" s="5">
        <f>L8/(L8+L28+L18+L38)*100</f>
        <v>0</v>
      </c>
      <c r="N8" s="2">
        <f>L8/(D4-D8)*100</f>
        <v>0</v>
      </c>
      <c r="O8" s="2">
        <f t="shared" si="3"/>
        <v>0</v>
      </c>
      <c r="R8" s="2"/>
    </row>
    <row r="9" spans="1:19" x14ac:dyDescent="0.25">
      <c r="A9" s="18">
        <v>1746600</v>
      </c>
      <c r="B9" s="5">
        <v>60</v>
      </c>
      <c r="C9" s="5">
        <v>5.5549999999999997</v>
      </c>
      <c r="D9" s="5">
        <f t="shared" si="0"/>
        <v>5.23459158137653</v>
      </c>
      <c r="E9" s="2">
        <f>(D4-D9)/D4*100</f>
        <v>21.811768076496087</v>
      </c>
      <c r="F9" s="23">
        <f>(L9+L19+L29+L39)/(E9/100*D4)*100</f>
        <v>22.786804645026709</v>
      </c>
      <c r="G9" s="5">
        <f>(L9+L19+L29+L39+D9)/D4*100</f>
        <v>83.158436904721384</v>
      </c>
      <c r="H9" s="13"/>
      <c r="I9" s="18">
        <v>20128</v>
      </c>
      <c r="J9" s="5">
        <v>60</v>
      </c>
      <c r="K9" s="5">
        <v>0</v>
      </c>
      <c r="L9" s="5">
        <f t="shared" si="1"/>
        <v>5.7900641486638087E-2</v>
      </c>
      <c r="M9" s="5">
        <f>L9/(L9+L29+L19+L39)*100</f>
        <v>17.400737889112602</v>
      </c>
      <c r="N9" s="2">
        <f>L9/(D4-D9)*100</f>
        <v>3.9650721495852324</v>
      </c>
      <c r="O9" s="2">
        <f t="shared" si="3"/>
        <v>0.86485234133326883</v>
      </c>
      <c r="R9" s="2"/>
      <c r="S9" s="3"/>
    </row>
    <row r="10" spans="1:19" x14ac:dyDescent="0.25">
      <c r="A10" s="18">
        <v>1409900</v>
      </c>
      <c r="B10" s="5">
        <v>120</v>
      </c>
      <c r="C10" s="5">
        <v>5.5549999999999997</v>
      </c>
      <c r="D10" s="5">
        <f t="shared" si="0"/>
        <v>4.2254956318463126</v>
      </c>
      <c r="E10" s="2">
        <f>(D4-D10)/D4*100</f>
        <v>36.884468001289264</v>
      </c>
      <c r="F10" s="8">
        <f>(L10+L20+L30+L40)/(E10/100*D4)*100</f>
        <v>15.519205272668893</v>
      </c>
      <c r="G10" s="5">
        <f>(L10+L20+L30+L40+D10)/D4*100</f>
        <v>68.839708301562681</v>
      </c>
      <c r="H10" s="13"/>
      <c r="I10" s="18">
        <v>23759</v>
      </c>
      <c r="J10" s="5">
        <v>120</v>
      </c>
      <c r="K10" s="5">
        <v>0</v>
      </c>
      <c r="L10" s="5">
        <f t="shared" si="1"/>
        <v>6.834565486292897E-2</v>
      </c>
      <c r="M10" s="5">
        <f>L10/(L10+L30+L20+L40)*100</f>
        <v>17.834317656390681</v>
      </c>
      <c r="N10" s="2">
        <f>L10/(D4-D10)*100</f>
        <v>2.7677443660751009</v>
      </c>
      <c r="O10" s="2">
        <f t="shared" si="3"/>
        <v>1.020867785062457</v>
      </c>
      <c r="R10" s="2"/>
      <c r="S10" s="3"/>
    </row>
    <row r="11" spans="1:19" x14ac:dyDescent="0.25">
      <c r="A11" s="18">
        <v>1227937</v>
      </c>
      <c r="B11" s="5">
        <v>240</v>
      </c>
      <c r="C11" s="5">
        <v>5.5549999999999997</v>
      </c>
      <c r="D11" s="5">
        <f t="shared" si="0"/>
        <v>3.6801492514947625</v>
      </c>
      <c r="E11" s="2">
        <f>(D4-D11)/D4*100</f>
        <v>45.030217025391259</v>
      </c>
      <c r="F11" s="23">
        <f>(L11+L21+L31+L41)/(E11/100*D4)*100</f>
        <v>13.065532743276814</v>
      </c>
      <c r="G11" s="5">
        <f>(L11+L21+L31+L41+D11)/D4*100</f>
        <v>60.853220724429846</v>
      </c>
      <c r="H11" s="13"/>
      <c r="I11" s="18">
        <v>11224</v>
      </c>
      <c r="J11" s="5">
        <v>240</v>
      </c>
      <c r="K11" s="5">
        <v>0</v>
      </c>
      <c r="L11" s="5">
        <f t="shared" si="1"/>
        <v>3.2287201910076807E-2</v>
      </c>
      <c r="M11" s="5">
        <f>L11/(L11+L31+L21+L41)*100</f>
        <v>8.1970547718642521</v>
      </c>
      <c r="N11" s="2">
        <f>L11/(D4-D11)*100</f>
        <v>1.0709888752022585</v>
      </c>
      <c r="O11" s="2">
        <f t="shared" si="3"/>
        <v>0.48226861482137373</v>
      </c>
      <c r="R11" s="2"/>
    </row>
    <row r="12" spans="1:19" ht="19.5" customHeight="1" x14ac:dyDescent="0.3">
      <c r="A12" s="9" t="s">
        <v>2</v>
      </c>
      <c r="B12" s="10"/>
      <c r="C12" s="10"/>
      <c r="D12" s="10"/>
      <c r="E12" s="10"/>
      <c r="F12" s="10"/>
      <c r="G12" s="10"/>
      <c r="H12" s="13"/>
      <c r="I12" s="7" t="s">
        <v>9</v>
      </c>
      <c r="J12" s="4" t="s">
        <v>1</v>
      </c>
      <c r="K12" s="4" t="s">
        <v>63</v>
      </c>
      <c r="L12" s="4" t="s">
        <v>10</v>
      </c>
      <c r="M12" s="4" t="s">
        <v>11</v>
      </c>
      <c r="N12" s="4" t="s">
        <v>64</v>
      </c>
      <c r="O12" s="4" t="s">
        <v>65</v>
      </c>
      <c r="R12" s="2"/>
    </row>
    <row r="13" spans="1:19" x14ac:dyDescent="0.25">
      <c r="A13" s="4" t="s">
        <v>45</v>
      </c>
      <c r="B13" s="4"/>
      <c r="C13" s="4" t="s">
        <v>46</v>
      </c>
      <c r="D13" s="4" t="s">
        <v>52</v>
      </c>
      <c r="E13" s="4"/>
      <c r="F13" s="4"/>
      <c r="G13" s="4"/>
      <c r="H13" s="13"/>
      <c r="I13" s="4" t="s">
        <v>3</v>
      </c>
      <c r="J13" s="4" t="s">
        <v>34</v>
      </c>
      <c r="K13" s="4" t="s">
        <v>4</v>
      </c>
      <c r="L13" s="4" t="s">
        <v>12</v>
      </c>
      <c r="M13" s="6" t="s">
        <v>13</v>
      </c>
      <c r="N13" s="4" t="s">
        <v>14</v>
      </c>
      <c r="O13" s="4" t="s">
        <v>14</v>
      </c>
      <c r="R13" s="2"/>
    </row>
    <row r="14" spans="1:19" x14ac:dyDescent="0.25">
      <c r="A14" s="1" t="s">
        <v>47</v>
      </c>
      <c r="C14" s="18" t="s">
        <v>50</v>
      </c>
      <c r="D14" s="18" t="s">
        <v>71</v>
      </c>
      <c r="F14" s="1"/>
      <c r="G14" s="1"/>
      <c r="H14" s="13"/>
      <c r="I14" s="18">
        <v>0</v>
      </c>
      <c r="J14" s="5" t="s">
        <v>33</v>
      </c>
      <c r="K14" s="5">
        <v>0</v>
      </c>
      <c r="L14" s="5">
        <f t="shared" ref="L14:L21" si="4">I14/13044500*40</f>
        <v>0</v>
      </c>
      <c r="M14" s="5" t="e">
        <f>L14/(L4+L14+L24+L34)*100</f>
        <v>#DIV/0!</v>
      </c>
      <c r="N14" s="2" t="e">
        <f>L14/(D4-D4)*100</f>
        <v>#DIV/0!</v>
      </c>
      <c r="O14" s="2" t="e">
        <f t="shared" ref="O14" si="5">E4*N14/100</f>
        <v>#DIV/0!</v>
      </c>
      <c r="R14" s="2"/>
    </row>
    <row r="15" spans="1:19" x14ac:dyDescent="0.25">
      <c r="A15" s="1" t="s">
        <v>36</v>
      </c>
      <c r="C15" s="18" t="s">
        <v>51</v>
      </c>
      <c r="D15" s="1" t="s">
        <v>53</v>
      </c>
      <c r="F15" s="1"/>
      <c r="G15" s="1"/>
      <c r="H15" s="13"/>
      <c r="I15" s="18">
        <v>3041</v>
      </c>
      <c r="J15" s="5">
        <v>0</v>
      </c>
      <c r="K15" s="5">
        <v>0</v>
      </c>
      <c r="L15" s="5">
        <f t="shared" si="4"/>
        <v>9.3250028747748088E-3</v>
      </c>
      <c r="M15" s="5" t="e">
        <f t="shared" ref="M15" si="6">L15/(L5+L25+L35)*100</f>
        <v>#DIV/0!</v>
      </c>
      <c r="N15" s="2">
        <f>L15/(D4-D5)*100</f>
        <v>30.474310325285508</v>
      </c>
      <c r="O15" s="2">
        <f>E5*N15/100</f>
        <v>0.13928603141727858</v>
      </c>
      <c r="R15" s="2"/>
    </row>
    <row r="16" spans="1:19" ht="16.5" x14ac:dyDescent="0.3">
      <c r="A16" s="1" t="s">
        <v>37</v>
      </c>
      <c r="C16" s="1" t="s">
        <v>69</v>
      </c>
      <c r="D16" s="1" t="s">
        <v>70</v>
      </c>
      <c r="F16" s="1"/>
      <c r="G16" s="1"/>
      <c r="H16" s="13"/>
      <c r="I16" s="18">
        <v>30823</v>
      </c>
      <c r="J16" s="5">
        <v>15</v>
      </c>
      <c r="K16" s="5">
        <v>0</v>
      </c>
      <c r="L16" s="5">
        <f t="shared" si="4"/>
        <v>9.4516462877074631E-2</v>
      </c>
      <c r="M16" s="5">
        <f t="shared" ref="M16:M21" si="7">L16/(L6+L16+L26+L36)*100</f>
        <v>56.18200271009416</v>
      </c>
      <c r="N16" s="2">
        <f>L16/(D4-D6)*100</f>
        <v>16.309063239323105</v>
      </c>
      <c r="O16" s="2">
        <f>E6*N16/100</f>
        <v>1.4117768320864121</v>
      </c>
      <c r="R16" s="2"/>
    </row>
    <row r="17" spans="1:18" ht="16.5" x14ac:dyDescent="0.3">
      <c r="A17" s="1" t="s">
        <v>48</v>
      </c>
      <c r="C17" s="18" t="s">
        <v>55</v>
      </c>
      <c r="D17" s="1" t="s">
        <v>58</v>
      </c>
      <c r="F17" s="1"/>
      <c r="G17" s="1"/>
      <c r="H17" s="13"/>
      <c r="I17" s="18">
        <v>42006</v>
      </c>
      <c r="J17" s="5">
        <v>30</v>
      </c>
      <c r="K17" s="5">
        <v>0</v>
      </c>
      <c r="L17" s="5">
        <f t="shared" si="4"/>
        <v>0.12880831001571544</v>
      </c>
      <c r="M17" s="5">
        <f t="shared" si="7"/>
        <v>62.503275682811612</v>
      </c>
      <c r="N17" s="2">
        <f>L17/(D4-D7)*100</f>
        <v>14.401643521560731</v>
      </c>
      <c r="O17" s="2">
        <f t="shared" ref="O17:O20" si="8">E7*N17/100</f>
        <v>1.9239885023723136</v>
      </c>
      <c r="R17" s="2"/>
    </row>
    <row r="18" spans="1:18" ht="18" x14ac:dyDescent="0.25">
      <c r="A18" s="1" t="s">
        <v>38</v>
      </c>
      <c r="C18" s="18" t="s">
        <v>77</v>
      </c>
      <c r="F18" s="1"/>
      <c r="G18" s="1"/>
      <c r="H18" s="13"/>
      <c r="I18" s="18">
        <v>53076</v>
      </c>
      <c r="J18" s="5">
        <v>45</v>
      </c>
      <c r="K18" s="5">
        <v>0</v>
      </c>
      <c r="L18" s="5">
        <f t="shared" si="4"/>
        <v>0.16275365096400785</v>
      </c>
      <c r="M18" s="5">
        <f t="shared" si="7"/>
        <v>66.009250187118795</v>
      </c>
      <c r="N18" s="2">
        <f>L18/(D4-D8)*100</f>
        <v>14.140873616359572</v>
      </c>
      <c r="O18" s="2">
        <f t="shared" si="8"/>
        <v>2.4310244667883856</v>
      </c>
      <c r="R18" s="2"/>
    </row>
    <row r="19" spans="1:18" x14ac:dyDescent="0.25">
      <c r="A19" s="1" t="s">
        <v>49</v>
      </c>
      <c r="C19" s="18" t="s">
        <v>56</v>
      </c>
      <c r="F19" s="1"/>
      <c r="G19" s="1"/>
      <c r="H19" s="13"/>
      <c r="I19" s="18">
        <v>62035</v>
      </c>
      <c r="J19" s="5">
        <v>60</v>
      </c>
      <c r="K19" s="5">
        <v>0</v>
      </c>
      <c r="L19" s="5">
        <f t="shared" si="4"/>
        <v>0.19022576564835753</v>
      </c>
      <c r="M19" s="5">
        <f t="shared" si="7"/>
        <v>57.168083164790232</v>
      </c>
      <c r="N19" s="2">
        <f>L19/(D4-D9)*100</f>
        <v>13.026779430067148</v>
      </c>
      <c r="O19" s="2">
        <f t="shared" si="8"/>
        <v>2.8413709171229447</v>
      </c>
      <c r="R19" s="2"/>
    </row>
    <row r="20" spans="1:18" ht="16.5" x14ac:dyDescent="0.3">
      <c r="A20" s="1" t="s">
        <v>54</v>
      </c>
      <c r="C20" s="1" t="s">
        <v>72</v>
      </c>
      <c r="D20" s="1" t="s">
        <v>59</v>
      </c>
      <c r="F20" s="1"/>
      <c r="G20" s="1"/>
      <c r="H20" s="13"/>
      <c r="I20" s="18">
        <v>72095</v>
      </c>
      <c r="J20" s="5">
        <v>120</v>
      </c>
      <c r="K20" s="5">
        <v>0</v>
      </c>
      <c r="L20" s="5">
        <f t="shared" si="4"/>
        <v>0.22107401586875697</v>
      </c>
      <c r="M20" s="5">
        <f t="shared" si="7"/>
        <v>57.687708640508006</v>
      </c>
      <c r="N20" s="2">
        <f>L20/(D4-D10)*100</f>
        <v>8.9526739210195849</v>
      </c>
      <c r="O20" s="2">
        <f t="shared" si="8"/>
        <v>3.3021461476582372</v>
      </c>
      <c r="R20" s="2"/>
    </row>
    <row r="21" spans="1:18" ht="15" customHeight="1" x14ac:dyDescent="0.25">
      <c r="A21" s="1" t="s">
        <v>66</v>
      </c>
      <c r="F21" s="1"/>
      <c r="G21" s="1"/>
      <c r="H21" s="13"/>
      <c r="I21" s="18">
        <v>89665</v>
      </c>
      <c r="J21" s="5">
        <v>240</v>
      </c>
      <c r="K21" s="5">
        <v>0</v>
      </c>
      <c r="L21" s="5">
        <f t="shared" si="4"/>
        <v>0.2749511288282418</v>
      </c>
      <c r="M21" s="5">
        <f t="shared" si="7"/>
        <v>69.804421853217221</v>
      </c>
      <c r="N21" s="24">
        <f>L21/(D4-D11)*100</f>
        <v>9.1203195934871726</v>
      </c>
      <c r="O21" s="24">
        <f>E11*N21/100</f>
        <v>4.1068997063565558</v>
      </c>
      <c r="R21" s="2"/>
    </row>
    <row r="22" spans="1:18" ht="20.25" x14ac:dyDescent="0.3">
      <c r="A22" s="19" t="s">
        <v>62</v>
      </c>
      <c r="B22" s="20"/>
      <c r="C22" s="20"/>
      <c r="D22" s="20"/>
      <c r="E22" s="20"/>
      <c r="F22" s="20"/>
      <c r="G22" s="20"/>
      <c r="H22" s="14"/>
      <c r="I22" s="7" t="s">
        <v>21</v>
      </c>
      <c r="J22" s="4" t="s">
        <v>1</v>
      </c>
      <c r="K22" s="4" t="s">
        <v>22</v>
      </c>
      <c r="L22" s="4" t="s">
        <v>23</v>
      </c>
      <c r="M22" s="4" t="s">
        <v>24</v>
      </c>
      <c r="N22" s="4" t="s">
        <v>25</v>
      </c>
      <c r="O22" s="4" t="s">
        <v>26</v>
      </c>
      <c r="R22" s="2"/>
    </row>
    <row r="23" spans="1:18" ht="16.5" x14ac:dyDescent="0.3">
      <c r="A23" s="4" t="s">
        <v>57</v>
      </c>
      <c r="B23" s="4" t="s">
        <v>60</v>
      </c>
      <c r="C23" s="4" t="s">
        <v>61</v>
      </c>
      <c r="D23" s="4" t="s">
        <v>80</v>
      </c>
      <c r="E23" s="4" t="s">
        <v>81</v>
      </c>
      <c r="F23" s="4" t="s">
        <v>82</v>
      </c>
      <c r="G23" s="4" t="s">
        <v>83</v>
      </c>
      <c r="H23" s="14"/>
      <c r="I23" s="4" t="s">
        <v>3</v>
      </c>
      <c r="J23" s="4" t="s">
        <v>34</v>
      </c>
      <c r="K23" s="4" t="s">
        <v>4</v>
      </c>
      <c r="L23" s="4" t="s">
        <v>12</v>
      </c>
      <c r="M23" s="6" t="s">
        <v>13</v>
      </c>
      <c r="N23" s="4" t="s">
        <v>6</v>
      </c>
      <c r="O23" s="4" t="s">
        <v>6</v>
      </c>
      <c r="R23" s="2"/>
    </row>
    <row r="24" spans="1:18" x14ac:dyDescent="0.25">
      <c r="A24" s="5">
        <v>0</v>
      </c>
      <c r="B24" s="18">
        <v>0</v>
      </c>
      <c r="C24" s="1">
        <v>23.2</v>
      </c>
      <c r="D24" s="16">
        <f>C24/100*5.5555</f>
        <v>1.2888759999999999</v>
      </c>
      <c r="E24" s="16">
        <v>1.55</v>
      </c>
      <c r="F24" s="16">
        <f>E24/100*0.2</f>
        <v>3.1000000000000003E-3</v>
      </c>
      <c r="G24" s="17">
        <f>D24/(F24*1)</f>
        <v>415.76645161290315</v>
      </c>
      <c r="H24" s="14"/>
      <c r="I24" s="18">
        <v>0</v>
      </c>
      <c r="J24" s="5" t="s">
        <v>33</v>
      </c>
      <c r="K24" s="5">
        <v>0</v>
      </c>
      <c r="L24" s="5">
        <f t="shared" ref="L24:L31" si="9">I24/13181500*40</f>
        <v>0</v>
      </c>
      <c r="M24" s="5" t="e">
        <f>L24/(L24+L14+L4+L34)*100</f>
        <v>#DIV/0!</v>
      </c>
      <c r="N24" s="2" t="e">
        <f>L24/(D4-D4)*100</f>
        <v>#DIV/0!</v>
      </c>
      <c r="O24" s="2" t="e">
        <f t="shared" ref="O24" si="10">E4*N24/100</f>
        <v>#DIV/0!</v>
      </c>
      <c r="R24" s="2"/>
    </row>
    <row r="25" spans="1:18" x14ac:dyDescent="0.25">
      <c r="A25" s="5">
        <v>0.25</v>
      </c>
      <c r="B25" s="18">
        <v>8.6</v>
      </c>
      <c r="F25" s="1"/>
      <c r="H25" s="14"/>
      <c r="I25" s="18">
        <v>0</v>
      </c>
      <c r="J25" s="5">
        <v>0</v>
      </c>
      <c r="K25" s="5">
        <v>0</v>
      </c>
      <c r="L25" s="5">
        <f t="shared" si="9"/>
        <v>0</v>
      </c>
      <c r="M25" s="5">
        <f>L25/(L25+L15+L5+L35)*100</f>
        <v>0</v>
      </c>
      <c r="N25" s="2">
        <f>L25/(D4-D5)*100</f>
        <v>0</v>
      </c>
      <c r="O25" s="2">
        <f>E5*N25/100</f>
        <v>0</v>
      </c>
      <c r="R25" s="2"/>
    </row>
    <row r="26" spans="1:18" x14ac:dyDescent="0.25">
      <c r="A26" s="5">
        <v>0.5</v>
      </c>
      <c r="B26" s="18">
        <v>13.3</v>
      </c>
      <c r="F26" s="1"/>
      <c r="G26" s="1"/>
      <c r="H26" s="14"/>
      <c r="I26" s="18">
        <v>5434</v>
      </c>
      <c r="J26" s="5">
        <v>15</v>
      </c>
      <c r="K26" s="5">
        <v>0</v>
      </c>
      <c r="L26" s="5">
        <f t="shared" si="9"/>
        <v>1.6489777339453022E-2</v>
      </c>
      <c r="M26" s="5">
        <f>L26/(L26+L16+L6+L36)*100</f>
        <v>9.8017708976147926</v>
      </c>
      <c r="N26" s="2">
        <f>L26/(D4-D6)*100</f>
        <v>2.8453542721045606</v>
      </c>
      <c r="O26" s="2">
        <f>E6*N26/100</f>
        <v>0.24630508702362711</v>
      </c>
      <c r="R26" s="2"/>
    </row>
    <row r="27" spans="1:18" x14ac:dyDescent="0.25">
      <c r="A27" s="5">
        <v>0.75</v>
      </c>
      <c r="B27" s="18">
        <v>17.2</v>
      </c>
      <c r="F27" s="1"/>
      <c r="G27" s="1"/>
      <c r="H27" s="14"/>
      <c r="I27" s="18">
        <v>4508</v>
      </c>
      <c r="J27" s="5">
        <v>30</v>
      </c>
      <c r="K27" s="5">
        <v>0</v>
      </c>
      <c r="L27" s="5">
        <f t="shared" si="9"/>
        <v>1.3679778477411524E-2</v>
      </c>
      <c r="M27" s="5">
        <f t="shared" ref="M27" si="11">L27/(L27+L17+L7+L37)*100</f>
        <v>6.6380108965727906</v>
      </c>
      <c r="N27" s="2">
        <f>L27/(D4-D7)*100</f>
        <v>1.5294921038989095</v>
      </c>
      <c r="O27" s="2">
        <f>E7*N27/100</f>
        <v>0.20433259703763543</v>
      </c>
      <c r="R27" s="2"/>
    </row>
    <row r="28" spans="1:18" x14ac:dyDescent="0.25">
      <c r="A28" s="5">
        <v>1</v>
      </c>
      <c r="B28" s="18">
        <v>21.8</v>
      </c>
      <c r="F28" s="1"/>
      <c r="G28" s="1"/>
      <c r="H28" s="14"/>
      <c r="I28" s="18">
        <v>3801</v>
      </c>
      <c r="J28" s="5">
        <v>45</v>
      </c>
      <c r="K28" s="5">
        <v>0</v>
      </c>
      <c r="L28" s="5">
        <f t="shared" si="9"/>
        <v>1.1534347380798846E-2</v>
      </c>
      <c r="M28" s="5">
        <f>L28/(L28+L18+L8+L38)*100</f>
        <v>4.6780739940062137</v>
      </c>
      <c r="N28" s="2">
        <f>L28/(D4-D8)*100</f>
        <v>1.0021633775523386</v>
      </c>
      <c r="O28" s="2">
        <f>E8*N28/100</f>
        <v>0.17228664625999385</v>
      </c>
      <c r="R28" s="2"/>
    </row>
    <row r="29" spans="1:18" x14ac:dyDescent="0.25">
      <c r="A29" s="5">
        <v>2</v>
      </c>
      <c r="B29" s="18"/>
      <c r="F29" s="1"/>
      <c r="G29" s="1"/>
      <c r="H29" s="14"/>
      <c r="I29" s="18">
        <v>3264</v>
      </c>
      <c r="J29" s="5">
        <v>60</v>
      </c>
      <c r="K29" s="5">
        <v>0</v>
      </c>
      <c r="L29" s="5">
        <f t="shared" si="9"/>
        <v>9.9047908052952993E-3</v>
      </c>
      <c r="M29" s="5">
        <f>L29/(L29+L19+L9+L39)*100</f>
        <v>2.9766625070848298</v>
      </c>
      <c r="N29" s="2">
        <f>L29/(D4-D9)*100</f>
        <v>0.6782862704311744</v>
      </c>
      <c r="O29" s="2">
        <f>E9*N29/100</f>
        <v>0.14794622820116282</v>
      </c>
      <c r="R29" s="2"/>
    </row>
    <row r="30" spans="1:18" x14ac:dyDescent="0.25">
      <c r="A30" s="5">
        <v>4</v>
      </c>
      <c r="B30" s="18"/>
      <c r="H30" s="14"/>
      <c r="I30" s="18">
        <v>2605</v>
      </c>
      <c r="J30" s="5">
        <v>120</v>
      </c>
      <c r="K30" s="5">
        <v>0</v>
      </c>
      <c r="L30" s="5">
        <f t="shared" si="9"/>
        <v>7.9050183969957902E-3</v>
      </c>
      <c r="M30" s="5">
        <f>L30/(L30+L20+L10+L40)*100</f>
        <v>2.0627589194130871</v>
      </c>
      <c r="N30" s="2">
        <f>L30/(D4-D10)*100</f>
        <v>0.32012379098400362</v>
      </c>
      <c r="O30" s="2">
        <f t="shared" ref="O30:O31" si="12">E10*N30/100</f>
        <v>0.11807595725000894</v>
      </c>
      <c r="R30" s="2"/>
    </row>
    <row r="31" spans="1:18" x14ac:dyDescent="0.25">
      <c r="G31" s="1"/>
      <c r="H31" s="14"/>
      <c r="I31" s="18">
        <v>1980</v>
      </c>
      <c r="J31" s="5">
        <v>240</v>
      </c>
      <c r="K31" s="5">
        <v>0</v>
      </c>
      <c r="L31" s="5">
        <f t="shared" si="9"/>
        <v>6.0084208929181045E-3</v>
      </c>
      <c r="M31" s="5">
        <f>L31/(L31+L21+L11+L41)*100</f>
        <v>1.5254141653040525</v>
      </c>
      <c r="N31" s="24">
        <f>L31/(D4-D11)*100</f>
        <v>0.1993034872383837</v>
      </c>
      <c r="O31" s="24">
        <f t="shared" si="12"/>
        <v>8.9746792842617149E-2</v>
      </c>
      <c r="R31" s="2"/>
    </row>
    <row r="32" spans="1:18" x14ac:dyDescent="0.25">
      <c r="F32" s="1"/>
      <c r="G32" s="1"/>
      <c r="H32" s="13"/>
      <c r="I32" s="7" t="s">
        <v>15</v>
      </c>
      <c r="J32" s="4" t="s">
        <v>1</v>
      </c>
      <c r="K32" s="4" t="s">
        <v>16</v>
      </c>
      <c r="L32" s="4" t="s">
        <v>17</v>
      </c>
      <c r="M32" s="4" t="s">
        <v>18</v>
      </c>
      <c r="N32" s="4" t="s">
        <v>19</v>
      </c>
      <c r="O32" s="4" t="s">
        <v>20</v>
      </c>
      <c r="Q32" s="2"/>
      <c r="R32" s="2"/>
    </row>
    <row r="33" spans="1:18" x14ac:dyDescent="0.25">
      <c r="F33" s="1"/>
      <c r="G33" s="1"/>
      <c r="H33" s="13"/>
      <c r="I33" s="4" t="s">
        <v>3</v>
      </c>
      <c r="J33" s="4" t="s">
        <v>34</v>
      </c>
      <c r="K33" s="4" t="s">
        <v>4</v>
      </c>
      <c r="L33" s="4" t="s">
        <v>12</v>
      </c>
      <c r="M33" s="6" t="s">
        <v>13</v>
      </c>
      <c r="N33" s="4" t="s">
        <v>6</v>
      </c>
      <c r="O33" s="4" t="s">
        <v>6</v>
      </c>
      <c r="Q33" s="2"/>
      <c r="R33" s="2"/>
    </row>
    <row r="34" spans="1:18" x14ac:dyDescent="0.25">
      <c r="F34" s="1"/>
      <c r="G34" s="1"/>
      <c r="H34" s="13"/>
      <c r="I34" s="18">
        <v>0</v>
      </c>
      <c r="J34" s="5" t="s">
        <v>33</v>
      </c>
      <c r="K34" s="5">
        <v>0</v>
      </c>
      <c r="L34" s="5">
        <f t="shared" ref="L34:L41" si="13">I34/13065300*40</f>
        <v>0</v>
      </c>
      <c r="M34" s="5" t="e">
        <f>L34/(L4+L14+L24+L34)*100</f>
        <v>#DIV/0!</v>
      </c>
      <c r="N34" s="2" t="e">
        <f>L34/(D4-D4)*100</f>
        <v>#DIV/0!</v>
      </c>
      <c r="O34" s="2" t="e">
        <f t="shared" ref="O34:O35" si="14">E4*N34/100</f>
        <v>#DIV/0!</v>
      </c>
      <c r="Q34" s="2"/>
      <c r="R34" s="2"/>
    </row>
    <row r="35" spans="1:18" x14ac:dyDescent="0.25">
      <c r="F35" s="1"/>
      <c r="G35" s="1"/>
      <c r="H35" s="13"/>
      <c r="I35" s="18">
        <v>0</v>
      </c>
      <c r="J35" s="5">
        <v>0</v>
      </c>
      <c r="K35" s="5">
        <v>0</v>
      </c>
      <c r="L35" s="5">
        <f t="shared" si="13"/>
        <v>0</v>
      </c>
      <c r="M35" s="5">
        <f t="shared" ref="M35:M41" si="15">L35/(L5+L15+L25+L35)*100</f>
        <v>0</v>
      </c>
      <c r="N35" s="2">
        <f>L35/(D4-D5)*100</f>
        <v>0</v>
      </c>
      <c r="O35" s="2">
        <f t="shared" si="14"/>
        <v>0</v>
      </c>
      <c r="Q35" s="2"/>
      <c r="R35" s="2"/>
    </row>
    <row r="36" spans="1:18" x14ac:dyDescent="0.25">
      <c r="F36" s="1"/>
      <c r="G36" s="1"/>
      <c r="H36" s="13"/>
      <c r="I36" s="18">
        <v>18692</v>
      </c>
      <c r="J36" s="5">
        <v>15</v>
      </c>
      <c r="K36" s="5">
        <v>0</v>
      </c>
      <c r="L36" s="5">
        <f t="shared" si="13"/>
        <v>5.7226393576879218E-2</v>
      </c>
      <c r="M36" s="5">
        <f t="shared" si="15"/>
        <v>34.016226392291045</v>
      </c>
      <c r="N36" s="2">
        <f>L36/(D4-D6)*100</f>
        <v>9.8745641065467193</v>
      </c>
      <c r="O36" s="2">
        <f>E6*N36/100</f>
        <v>0.85478121140410257</v>
      </c>
      <c r="Q36" s="2"/>
      <c r="R36" s="2"/>
    </row>
    <row r="37" spans="1:18" x14ac:dyDescent="0.25">
      <c r="F37" s="1"/>
      <c r="G37" s="1"/>
      <c r="H37" s="13"/>
      <c r="I37" s="18">
        <v>20772</v>
      </c>
      <c r="J37" s="5">
        <v>30</v>
      </c>
      <c r="K37" s="5">
        <v>0</v>
      </c>
      <c r="L37" s="5">
        <f t="shared" si="13"/>
        <v>6.3594406557828748E-2</v>
      </c>
      <c r="M37" s="5">
        <f t="shared" si="15"/>
        <v>30.858713420615597</v>
      </c>
      <c r="N37" s="2">
        <f>L37/(D4-D7)*100</f>
        <v>7.1102863867968793</v>
      </c>
      <c r="O37" s="2">
        <f t="shared" ref="O37:O41" si="16">E7*N37/100</f>
        <v>0.94989917201401741</v>
      </c>
      <c r="Q37" s="2"/>
      <c r="R37" s="2"/>
    </row>
    <row r="38" spans="1:18" x14ac:dyDescent="0.25">
      <c r="F38" s="1"/>
      <c r="G38" s="1"/>
      <c r="H38" s="13"/>
      <c r="I38" s="18">
        <v>23607</v>
      </c>
      <c r="J38" s="5">
        <v>45</v>
      </c>
      <c r="K38" s="5">
        <v>0</v>
      </c>
      <c r="L38" s="5">
        <f t="shared" si="13"/>
        <v>7.2273885789074871E-2</v>
      </c>
      <c r="M38" s="5">
        <f t="shared" si="15"/>
        <v>29.31267581887499</v>
      </c>
      <c r="N38" s="2">
        <f>L38/(D4-D8)*100</f>
        <v>6.2795266259957971</v>
      </c>
      <c r="O38" s="2">
        <f t="shared" si="16"/>
        <v>1.0795431231337813</v>
      </c>
    </row>
    <row r="39" spans="1:18" x14ac:dyDescent="0.25">
      <c r="F39" s="1"/>
      <c r="G39" s="1"/>
      <c r="H39" s="13"/>
      <c r="I39" s="18">
        <v>24405</v>
      </c>
      <c r="J39" s="5">
        <v>60</v>
      </c>
      <c r="K39" s="5">
        <v>0</v>
      </c>
      <c r="L39" s="5">
        <f t="shared" si="13"/>
        <v>7.4716998461573786E-2</v>
      </c>
      <c r="M39" s="5">
        <f t="shared" si="15"/>
        <v>22.454516439012341</v>
      </c>
      <c r="N39" s="2">
        <f>L39/(D4-D9)*100</f>
        <v>5.1166667949431499</v>
      </c>
      <c r="O39" s="2">
        <f t="shared" si="16"/>
        <v>1.1160354945600854</v>
      </c>
    </row>
    <row r="40" spans="1:18" x14ac:dyDescent="0.25">
      <c r="F40" s="1"/>
      <c r="G40" s="1"/>
      <c r="H40" s="13"/>
      <c r="I40" s="18">
        <v>28058</v>
      </c>
      <c r="J40" s="5">
        <v>120</v>
      </c>
      <c r="K40" s="5">
        <v>0</v>
      </c>
      <c r="L40" s="5">
        <f t="shared" si="13"/>
        <v>8.5900821259366419E-2</v>
      </c>
      <c r="M40" s="5">
        <f t="shared" si="15"/>
        <v>22.415214783688224</v>
      </c>
      <c r="N40" s="2">
        <f>L40/(D4-D10)*100</f>
        <v>3.4786631945901996</v>
      </c>
      <c r="O40" s="2">
        <f t="shared" si="16"/>
        <v>1.2830864128812491</v>
      </c>
    </row>
    <row r="41" spans="1:18" x14ac:dyDescent="0.25">
      <c r="F41" s="1"/>
      <c r="G41" s="1"/>
      <c r="H41" s="13"/>
      <c r="I41" s="18">
        <v>26340</v>
      </c>
      <c r="J41" s="5">
        <v>240</v>
      </c>
      <c r="K41" s="5">
        <v>0</v>
      </c>
      <c r="L41" s="5">
        <f t="shared" si="13"/>
        <v>8.0641087460678273E-2</v>
      </c>
      <c r="M41" s="5">
        <f t="shared" si="15"/>
        <v>20.473109209614471</v>
      </c>
      <c r="N41" s="24">
        <f>L41/(D4-D11)*100</f>
        <v>2.674920787349</v>
      </c>
      <c r="O41" s="24">
        <f t="shared" si="16"/>
        <v>1.2045226358005592</v>
      </c>
    </row>
    <row r="42" spans="1:18" ht="20.25" x14ac:dyDescent="0.3">
      <c r="A42" s="19" t="s">
        <v>79</v>
      </c>
      <c r="B42" s="20"/>
      <c r="C42" s="20"/>
      <c r="D42" s="20"/>
      <c r="E42" s="20"/>
      <c r="F42" s="20"/>
      <c r="G42" s="20"/>
      <c r="I42" s="7" t="s">
        <v>31</v>
      </c>
      <c r="J42" s="4"/>
      <c r="K42" s="4"/>
      <c r="L42" s="4"/>
      <c r="M42" s="7" t="e">
        <f>M4+M14+M24+M34</f>
        <v>#DIV/0!</v>
      </c>
      <c r="N42" s="4"/>
      <c r="O42" s="4"/>
    </row>
    <row r="43" spans="1:18" ht="16.5" x14ac:dyDescent="0.3">
      <c r="A43" s="4" t="s">
        <v>57</v>
      </c>
      <c r="B43" s="4" t="s">
        <v>97</v>
      </c>
      <c r="C43" s="4" t="s">
        <v>61</v>
      </c>
      <c r="D43" s="4" t="s">
        <v>80</v>
      </c>
      <c r="E43" s="4" t="s">
        <v>81</v>
      </c>
      <c r="F43" s="4" t="s">
        <v>82</v>
      </c>
      <c r="G43" s="4" t="s">
        <v>84</v>
      </c>
    </row>
    <row r="44" spans="1:18" x14ac:dyDescent="0.25">
      <c r="A44" s="5">
        <v>0</v>
      </c>
      <c r="B44" s="18">
        <f>L35</f>
        <v>0</v>
      </c>
      <c r="C44" s="1">
        <v>8.8700000000000001E-2</v>
      </c>
      <c r="D44" s="16">
        <f>C44</f>
        <v>8.8700000000000001E-2</v>
      </c>
      <c r="E44" s="16">
        <v>1.55</v>
      </c>
      <c r="F44" s="16">
        <f>E44/100*0.2</f>
        <v>3.1000000000000003E-3</v>
      </c>
      <c r="G44" s="17">
        <f>D44/(F44*1)</f>
        <v>28.612903225806448</v>
      </c>
    </row>
    <row r="45" spans="1:18" x14ac:dyDescent="0.25">
      <c r="A45" s="5">
        <v>0.25</v>
      </c>
      <c r="B45" s="18"/>
      <c r="F45" s="1"/>
    </row>
    <row r="46" spans="1:18" x14ac:dyDescent="0.25">
      <c r="A46" s="5">
        <v>0.5</v>
      </c>
      <c r="B46" s="18">
        <f t="shared" ref="B46:B48" si="17">L37</f>
        <v>6.3594406557828748E-2</v>
      </c>
      <c r="F46" s="1"/>
      <c r="G46" s="1"/>
    </row>
    <row r="47" spans="1:18" x14ac:dyDescent="0.25">
      <c r="A47" s="5">
        <v>0.75</v>
      </c>
      <c r="B47" s="18">
        <f t="shared" si="17"/>
        <v>7.2273885789074871E-2</v>
      </c>
      <c r="F47" s="1"/>
      <c r="G47" s="1"/>
    </row>
    <row r="48" spans="1:18" x14ac:dyDescent="0.25">
      <c r="A48" s="5">
        <v>1</v>
      </c>
      <c r="B48" s="18">
        <f t="shared" si="17"/>
        <v>7.4716998461573786E-2</v>
      </c>
      <c r="F48" s="1"/>
      <c r="G48" s="1"/>
    </row>
    <row r="49" spans="1:7" x14ac:dyDescent="0.25">
      <c r="A49" s="5">
        <v>2</v>
      </c>
      <c r="B49" s="18"/>
      <c r="F49" s="1"/>
      <c r="G49" s="1"/>
    </row>
    <row r="50" spans="1:7" x14ac:dyDescent="0.25">
      <c r="A50" s="5">
        <v>4</v>
      </c>
      <c r="B50" s="18"/>
    </row>
    <row r="51" spans="1:7" x14ac:dyDescent="0.25">
      <c r="G51" s="1"/>
    </row>
    <row r="52" spans="1:7" x14ac:dyDescent="0.25">
      <c r="F52" s="1"/>
      <c r="G52" s="1"/>
    </row>
    <row r="53" spans="1:7" x14ac:dyDescent="0.25">
      <c r="F53" s="1"/>
      <c r="G53" s="1"/>
    </row>
    <row r="54" spans="1:7" x14ac:dyDescent="0.25">
      <c r="F54" s="1"/>
      <c r="G54" s="1"/>
    </row>
    <row r="55" spans="1:7" x14ac:dyDescent="0.25">
      <c r="F55" s="1"/>
      <c r="G55" s="1"/>
    </row>
    <row r="56" spans="1:7" x14ac:dyDescent="0.25">
      <c r="F56" s="1"/>
      <c r="G56" s="1"/>
    </row>
    <row r="57" spans="1:7" x14ac:dyDescent="0.25">
      <c r="F57" s="1"/>
      <c r="G57" s="1"/>
    </row>
    <row r="58" spans="1:7" x14ac:dyDescent="0.25">
      <c r="F58" s="1"/>
      <c r="G58" s="1"/>
    </row>
    <row r="59" spans="1:7" x14ac:dyDescent="0.25">
      <c r="F59" s="1"/>
      <c r="G59" s="1"/>
    </row>
    <row r="60" spans="1:7" x14ac:dyDescent="0.25">
      <c r="D60" s="5"/>
    </row>
    <row r="61" spans="1:7" ht="20.25" x14ac:dyDescent="0.3">
      <c r="A61" s="19" t="s">
        <v>98</v>
      </c>
      <c r="B61" s="20"/>
      <c r="C61" s="20"/>
      <c r="D61" s="20"/>
      <c r="E61" s="20"/>
      <c r="F61" s="20"/>
      <c r="G61" s="20"/>
    </row>
    <row r="62" spans="1:7" ht="16.5" x14ac:dyDescent="0.3">
      <c r="A62" s="4" t="s">
        <v>57</v>
      </c>
      <c r="B62" s="4" t="s">
        <v>97</v>
      </c>
      <c r="C62" s="4" t="s">
        <v>61</v>
      </c>
      <c r="D62" s="4" t="s">
        <v>80</v>
      </c>
      <c r="E62" s="4" t="s">
        <v>81</v>
      </c>
      <c r="F62" s="4" t="s">
        <v>82</v>
      </c>
      <c r="G62" s="4" t="s">
        <v>84</v>
      </c>
    </row>
    <row r="63" spans="1:7" x14ac:dyDescent="0.25">
      <c r="A63" s="5">
        <v>0</v>
      </c>
      <c r="B63" s="18">
        <f>L15</f>
        <v>9.3250028747748088E-3</v>
      </c>
      <c r="C63" s="1">
        <v>0.2135</v>
      </c>
      <c r="D63" s="16">
        <f>C63</f>
        <v>0.2135</v>
      </c>
      <c r="E63" s="16">
        <v>1.55</v>
      </c>
      <c r="F63" s="16">
        <f>E63/100*0.2</f>
        <v>3.1000000000000003E-3</v>
      </c>
      <c r="G63" s="17">
        <f>D63/F63</f>
        <v>68.870967741935473</v>
      </c>
    </row>
    <row r="64" spans="1:7" x14ac:dyDescent="0.25">
      <c r="A64" s="5">
        <v>0.25</v>
      </c>
      <c r="B64" s="18">
        <f t="shared" ref="B64:B67" si="18">L16</f>
        <v>9.4516462877074631E-2</v>
      </c>
      <c r="F64" s="1"/>
    </row>
    <row r="65" spans="1:7" x14ac:dyDescent="0.25">
      <c r="A65" s="5">
        <v>0.5</v>
      </c>
      <c r="B65" s="18">
        <f t="shared" si="18"/>
        <v>0.12880831001571544</v>
      </c>
      <c r="F65" s="1"/>
      <c r="G65" s="1"/>
    </row>
    <row r="66" spans="1:7" x14ac:dyDescent="0.25">
      <c r="A66" s="5">
        <v>0.75</v>
      </c>
      <c r="B66" s="18">
        <f t="shared" si="18"/>
        <v>0.16275365096400785</v>
      </c>
      <c r="F66" s="1"/>
      <c r="G66" s="1"/>
    </row>
    <row r="67" spans="1:7" x14ac:dyDescent="0.25">
      <c r="A67" s="5">
        <v>1</v>
      </c>
      <c r="B67" s="18">
        <f t="shared" si="18"/>
        <v>0.19022576564835753</v>
      </c>
      <c r="F67" s="1"/>
      <c r="G67" s="1"/>
    </row>
    <row r="68" spans="1:7" x14ac:dyDescent="0.25">
      <c r="A68" s="5">
        <v>2</v>
      </c>
      <c r="B68" s="18"/>
      <c r="F68" s="1"/>
      <c r="G68" s="1"/>
    </row>
    <row r="69" spans="1:7" x14ac:dyDescent="0.25">
      <c r="A69" s="5">
        <v>4</v>
      </c>
      <c r="B69" s="18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topLeftCell="I31" zoomScale="180" zoomScaleNormal="180" workbookViewId="0">
      <selection activeCell="K35" sqref="K35"/>
    </sheetView>
  </sheetViews>
  <sheetFormatPr defaultRowHeight="15" x14ac:dyDescent="0.25"/>
  <cols>
    <col min="1" max="4" width="12.140625" customWidth="1"/>
    <col min="5" max="5" width="14.28515625" customWidth="1"/>
    <col min="6" max="6" width="14" customWidth="1"/>
    <col min="7" max="7" width="19.85546875" customWidth="1"/>
    <col min="8" max="8" width="19.7109375" customWidth="1"/>
    <col min="9" max="9" width="18.42578125" customWidth="1"/>
    <col min="10" max="10" width="19" customWidth="1"/>
    <col min="11" max="11" width="16.28515625" customWidth="1"/>
    <col min="12" max="12" width="20.7109375" customWidth="1"/>
    <col min="13" max="13" width="14" customWidth="1"/>
    <col min="14" max="14" width="12.85546875" customWidth="1"/>
    <col min="15" max="15" width="13" customWidth="1"/>
    <col min="16" max="16" width="12" customWidth="1"/>
    <col min="17" max="17" width="30.7109375" bestFit="1" customWidth="1"/>
    <col min="18" max="18" width="21.85546875" bestFit="1" customWidth="1"/>
    <col min="19" max="19" width="29.42578125" bestFit="1" customWidth="1"/>
    <col min="21" max="21" width="15.28515625" bestFit="1" customWidth="1"/>
    <col min="22" max="22" width="15.7109375" bestFit="1" customWidth="1"/>
    <col min="23" max="23" width="15.28515625" bestFit="1" customWidth="1"/>
  </cols>
  <sheetData>
    <row r="1" spans="1:23" x14ac:dyDescent="0.25">
      <c r="R1" t="s">
        <v>15</v>
      </c>
      <c r="S1" t="s">
        <v>103</v>
      </c>
      <c r="W1" t="s">
        <v>21</v>
      </c>
    </row>
    <row r="2" spans="1:23" ht="60" x14ac:dyDescent="0.25">
      <c r="A2" s="25" t="s">
        <v>96</v>
      </c>
      <c r="B2" s="25" t="s">
        <v>108</v>
      </c>
      <c r="C2" s="25" t="s">
        <v>109</v>
      </c>
      <c r="D2" s="25" t="s">
        <v>107</v>
      </c>
      <c r="E2" s="26" t="s">
        <v>85</v>
      </c>
      <c r="F2" s="26" t="s">
        <v>86</v>
      </c>
      <c r="G2" s="27" t="s">
        <v>87</v>
      </c>
      <c r="H2" s="25" t="s">
        <v>88</v>
      </c>
      <c r="I2" s="25" t="s">
        <v>89</v>
      </c>
      <c r="J2" s="28" t="s">
        <v>90</v>
      </c>
      <c r="K2" s="28" t="s">
        <v>91</v>
      </c>
      <c r="L2" s="25" t="s">
        <v>92</v>
      </c>
      <c r="M2" s="25" t="s">
        <v>93</v>
      </c>
      <c r="N2" s="29" t="s">
        <v>94</v>
      </c>
      <c r="O2" s="29" t="s">
        <v>95</v>
      </c>
      <c r="P2" s="35" t="s">
        <v>99</v>
      </c>
      <c r="Q2" t="s">
        <v>100</v>
      </c>
      <c r="R2" t="s">
        <v>101</v>
      </c>
      <c r="S2" t="s">
        <v>102</v>
      </c>
      <c r="U2" t="s">
        <v>104</v>
      </c>
      <c r="V2" t="s">
        <v>105</v>
      </c>
      <c r="W2" t="s">
        <v>106</v>
      </c>
    </row>
    <row r="3" spans="1:23" x14ac:dyDescent="0.25">
      <c r="A3">
        <v>80</v>
      </c>
      <c r="B3">
        <f>1/(A3+273)</f>
        <v>2.8328611898016999E-3</v>
      </c>
      <c r="C3" s="16">
        <v>4.0238486500000004E-2</v>
      </c>
      <c r="D3" s="16">
        <f>LN(C3/1000)</f>
        <v>-10.120686644709158</v>
      </c>
      <c r="E3" s="30">
        <v>12.9</v>
      </c>
      <c r="F3" s="30">
        <v>10.3</v>
      </c>
      <c r="G3" s="31">
        <v>1.6</v>
      </c>
      <c r="H3" s="34">
        <v>0</v>
      </c>
      <c r="I3" s="34">
        <v>0</v>
      </c>
      <c r="J3" s="32">
        <v>63.1</v>
      </c>
      <c r="K3" s="32">
        <v>0.98</v>
      </c>
      <c r="L3" s="34">
        <v>0</v>
      </c>
      <c r="M3" s="34">
        <v>0</v>
      </c>
      <c r="N3" s="33">
        <v>77.5</v>
      </c>
      <c r="O3" s="33">
        <v>63.1</v>
      </c>
      <c r="P3">
        <v>0</v>
      </c>
      <c r="Q3" s="16">
        <v>3.1899999999999998E-2</v>
      </c>
      <c r="R3">
        <v>63.1</v>
      </c>
      <c r="S3">
        <v>0</v>
      </c>
      <c r="U3">
        <v>100</v>
      </c>
      <c r="V3">
        <v>0</v>
      </c>
    </row>
    <row r="4" spans="1:23" x14ac:dyDescent="0.25">
      <c r="A4">
        <v>100</v>
      </c>
      <c r="B4">
        <f t="shared" ref="B4:B8" si="0">1/(A4+273)</f>
        <v>2.6809651474530832E-3</v>
      </c>
      <c r="C4" s="16">
        <v>7.2665940000000012E-2</v>
      </c>
      <c r="D4" s="16">
        <f t="shared" ref="D4:D8" si="1">LN(C4/1000)</f>
        <v>-9.5296377838932944</v>
      </c>
      <c r="E4" s="30">
        <v>23.4</v>
      </c>
      <c r="F4" s="30">
        <v>15.1</v>
      </c>
      <c r="G4" s="31">
        <v>2.2999999999999998</v>
      </c>
      <c r="H4" s="34">
        <v>7.7</v>
      </c>
      <c r="I4" s="34">
        <v>0.2</v>
      </c>
      <c r="J4" s="32">
        <v>52</v>
      </c>
      <c r="K4" s="32">
        <v>1.2</v>
      </c>
      <c r="L4" s="34">
        <v>0</v>
      </c>
      <c r="M4" s="34">
        <v>0</v>
      </c>
      <c r="N4" s="33">
        <v>70.5</v>
      </c>
      <c r="O4" s="33">
        <v>59.7</v>
      </c>
      <c r="P4">
        <v>1.0999999999999999E-2</v>
      </c>
      <c r="Q4" s="16">
        <v>4.6699999999999998E-2</v>
      </c>
      <c r="R4">
        <v>53.1</v>
      </c>
      <c r="S4">
        <v>10.1</v>
      </c>
      <c r="U4">
        <v>87</v>
      </c>
      <c r="V4">
        <v>13</v>
      </c>
    </row>
    <row r="5" spans="1:23" x14ac:dyDescent="0.25">
      <c r="A5">
        <v>120</v>
      </c>
      <c r="B5">
        <f t="shared" si="0"/>
        <v>2.5445292620865142E-3</v>
      </c>
      <c r="C5" s="16">
        <v>0.1403041525</v>
      </c>
      <c r="D5" s="16">
        <f t="shared" si="1"/>
        <v>-8.8716979740023323</v>
      </c>
      <c r="E5" s="30">
        <v>45.3</v>
      </c>
      <c r="F5" s="30">
        <v>26.2</v>
      </c>
      <c r="G5" s="31">
        <v>7.5</v>
      </c>
      <c r="H5" s="34">
        <v>10.8</v>
      </c>
      <c r="I5" s="34">
        <v>0.8</v>
      </c>
      <c r="J5" s="32">
        <v>45.3</v>
      </c>
      <c r="K5" s="32">
        <v>3.4</v>
      </c>
      <c r="L5" s="34">
        <v>0</v>
      </c>
      <c r="M5" s="34">
        <v>0</v>
      </c>
      <c r="N5" s="33">
        <v>69.099999999999994</v>
      </c>
      <c r="O5" s="33">
        <v>56.1</v>
      </c>
      <c r="P5">
        <v>3.2000000000000001E-2</v>
      </c>
      <c r="Q5" s="16">
        <v>7.2665940000000012E-2</v>
      </c>
      <c r="R5">
        <v>58.1</v>
      </c>
      <c r="S5">
        <v>24</v>
      </c>
      <c r="U5">
        <v>72</v>
      </c>
      <c r="V5">
        <v>28</v>
      </c>
    </row>
    <row r="6" spans="1:23" x14ac:dyDescent="0.25">
      <c r="A6">
        <v>140</v>
      </c>
      <c r="B6">
        <f t="shared" si="0"/>
        <v>2.4213075060532689E-3</v>
      </c>
      <c r="C6" s="16">
        <v>0.28413604749999999</v>
      </c>
      <c r="D6" s="16">
        <f t="shared" si="1"/>
        <v>-8.1660573940133769</v>
      </c>
      <c r="E6" s="30">
        <v>91.7</v>
      </c>
      <c r="F6" s="30">
        <v>44.5</v>
      </c>
      <c r="G6" s="31">
        <v>16.2</v>
      </c>
      <c r="H6" s="34">
        <v>12.2</v>
      </c>
      <c r="I6" s="34">
        <v>1.9</v>
      </c>
      <c r="J6" s="32">
        <v>28.6</v>
      </c>
      <c r="K6" s="32">
        <v>4.5999999999999996</v>
      </c>
      <c r="L6" s="34">
        <v>0.5</v>
      </c>
      <c r="M6" s="34">
        <v>0.1</v>
      </c>
      <c r="N6" s="33">
        <v>61.1</v>
      </c>
      <c r="O6" s="33">
        <v>41.2</v>
      </c>
      <c r="P6">
        <v>8.4000000000000005E-2</v>
      </c>
      <c r="Q6" s="16">
        <v>8.1199999999999994E-2</v>
      </c>
      <c r="R6">
        <v>49</v>
      </c>
      <c r="S6">
        <v>25</v>
      </c>
      <c r="U6">
        <v>61</v>
      </c>
      <c r="V6">
        <v>37</v>
      </c>
      <c r="W6">
        <v>2</v>
      </c>
    </row>
    <row r="7" spans="1:23" x14ac:dyDescent="0.25">
      <c r="A7">
        <v>160</v>
      </c>
      <c r="B7">
        <f t="shared" si="0"/>
        <v>2.3094688221709007E-3</v>
      </c>
      <c r="C7" s="16">
        <v>0.72593718500000004</v>
      </c>
      <c r="D7" s="16">
        <f t="shared" si="1"/>
        <v>-7.2280470689212928</v>
      </c>
      <c r="E7" s="30">
        <v>234.2</v>
      </c>
      <c r="F7" s="30">
        <v>36.299999999999997</v>
      </c>
      <c r="G7" s="31">
        <v>27.5</v>
      </c>
      <c r="H7" s="34">
        <v>15.4</v>
      </c>
      <c r="I7" s="34">
        <v>4.3</v>
      </c>
      <c r="J7" s="32">
        <v>7.6</v>
      </c>
      <c r="K7" s="32">
        <v>2.1</v>
      </c>
      <c r="L7" s="34">
        <v>0.2</v>
      </c>
      <c r="M7" s="34">
        <v>0.1</v>
      </c>
      <c r="N7" s="33">
        <v>25.8</v>
      </c>
      <c r="O7" s="33">
        <v>23.3</v>
      </c>
      <c r="P7">
        <v>0.187</v>
      </c>
      <c r="Q7" s="16">
        <v>0.13789999999999999</v>
      </c>
      <c r="R7">
        <v>18</v>
      </c>
      <c r="S7">
        <v>27.8</v>
      </c>
      <c r="U7">
        <v>57</v>
      </c>
      <c r="V7">
        <v>39</v>
      </c>
      <c r="W7">
        <v>4</v>
      </c>
    </row>
    <row r="8" spans="1:23" x14ac:dyDescent="0.25">
      <c r="A8">
        <v>180</v>
      </c>
      <c r="B8">
        <f t="shared" si="0"/>
        <v>2.2075055187637969E-3</v>
      </c>
      <c r="C8" s="16">
        <v>1.2888759999999999</v>
      </c>
      <c r="D8" s="16">
        <f t="shared" si="1"/>
        <v>-6.6539847582560379</v>
      </c>
      <c r="E8" s="30">
        <v>415.7</v>
      </c>
      <c r="F8" s="30">
        <v>28.6</v>
      </c>
      <c r="G8" s="31">
        <v>45</v>
      </c>
      <c r="H8" s="34">
        <v>9.1</v>
      </c>
      <c r="I8" s="34">
        <v>4.0999999999999996</v>
      </c>
      <c r="J8" s="32">
        <v>2.7</v>
      </c>
      <c r="K8" s="32">
        <v>1.2</v>
      </c>
      <c r="L8" s="34">
        <v>0.2</v>
      </c>
      <c r="M8" s="34">
        <v>0.1</v>
      </c>
      <c r="N8" s="33">
        <v>22.8</v>
      </c>
      <c r="O8" s="33">
        <v>13.1</v>
      </c>
      <c r="P8">
        <v>0.214</v>
      </c>
      <c r="Q8" s="16">
        <v>8.8700000000000001E-2</v>
      </c>
      <c r="R8">
        <v>9</v>
      </c>
      <c r="S8">
        <v>16</v>
      </c>
      <c r="U8">
        <v>56</v>
      </c>
      <c r="V8">
        <v>34</v>
      </c>
      <c r="W8">
        <v>10</v>
      </c>
    </row>
    <row r="9" spans="1:23" x14ac:dyDescent="0.25">
      <c r="E9" s="30" t="s">
        <v>0</v>
      </c>
      <c r="F9" s="30" t="s">
        <v>15</v>
      </c>
      <c r="J9" s="32"/>
      <c r="K9" s="32"/>
      <c r="N9" s="32"/>
      <c r="O9" s="32"/>
    </row>
    <row r="18" spans="1:2" x14ac:dyDescent="0.25">
      <c r="A18" t="s">
        <v>110</v>
      </c>
      <c r="B18">
        <f>5668.2*8.314/1000</f>
        <v>47.125414800000001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80oC</vt:lpstr>
      <vt:lpstr>100oC</vt:lpstr>
      <vt:lpstr>120oC</vt:lpstr>
      <vt:lpstr>140oC</vt:lpstr>
      <vt:lpstr>160oC</vt:lpstr>
      <vt:lpstr>180oC</vt:lpstr>
      <vt:lpstr>Summarization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2016-03-06T14:48:57Z</dcterms:modified>
</cp:coreProperties>
</file>