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theme/themeOverride2.xml" ContentType="application/vnd.openxmlformats-officedocument.themeOverride+xml"/>
  <Override PartName="/xl/charts/chart20.xml" ContentType="application/vnd.openxmlformats-officedocument.drawingml.chart+xml"/>
  <Override PartName="/xl/theme/themeOverride3.xml" ContentType="application/vnd.openxmlformats-officedocument.themeOverride+xml"/>
  <Override PartName="/xl/charts/chart21.xml" ContentType="application/vnd.openxmlformats-officedocument.drawingml.chart+xml"/>
  <Override PartName="/xl/theme/themeOverride4.xml" ContentType="application/vnd.openxmlformats-officedocument.themeOverride+xml"/>
  <Override PartName="/xl/charts/chart22.xml" ContentType="application/vnd.openxmlformats-officedocument.drawingml.chart+xml"/>
  <Override PartName="/xl/theme/themeOverride5.xml" ContentType="application/vnd.openxmlformats-officedocument.themeOverride+xml"/>
  <Override PartName="/xl/charts/chart23.xml" ContentType="application/vnd.openxmlformats-officedocument.drawingml.chart+xml"/>
  <Override PartName="/xl/theme/themeOverride6.xml" ContentType="application/vnd.openxmlformats-officedocument.themeOverride+xml"/>
  <Override PartName="/xl/charts/chart24.xml" ContentType="application/vnd.openxmlformats-officedocument.drawingml.chart+xml"/>
  <Override PartName="/xl/theme/themeOverride7.xml" ContentType="application/vnd.openxmlformats-officedocument.themeOverride+xml"/>
  <Override PartName="/xl/charts/chart25.xml" ContentType="application/vnd.openxmlformats-officedocument.drawingml.chart+xml"/>
  <Override PartName="/xl/drawings/drawing2.xml" ContentType="application/vnd.openxmlformats-officedocument.drawingml.chartshapes+xml"/>
  <Override PartName="/xl/charts/chart26.xml" ContentType="application/vnd.openxmlformats-officedocument.drawingml.chart+xml"/>
  <Override PartName="/xl/theme/themeOverride8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Papers\In Preparation\Iron oxide ketonisation - ChemSusChem\James Iron Oxide Paper\"/>
    </mc:Choice>
  </mc:AlternateContent>
  <bookViews>
    <workbookView xWindow="0" yWindow="60" windowWidth="28760" windowHeight="12600"/>
  </bookViews>
  <sheets>
    <sheet name="conv and rate" sheetId="16" r:id="rId1"/>
    <sheet name="size-area calculations" sheetId="2" r:id="rId2"/>
    <sheet name="error" sheetId="9" r:id="rId3"/>
  </sheets>
  <calcPr calcId="171027"/>
</workbook>
</file>

<file path=xl/calcChain.xml><?xml version="1.0" encoding="utf-8"?>
<calcChain xmlns="http://schemas.openxmlformats.org/spreadsheetml/2006/main">
  <c r="V14" i="16" l="1"/>
  <c r="W14" i="16"/>
  <c r="X14" i="16"/>
  <c r="Y14" i="16"/>
  <c r="Z14" i="16"/>
  <c r="AA14" i="16"/>
  <c r="U14" i="16"/>
  <c r="AT42" i="16"/>
  <c r="AW18" i="16"/>
  <c r="BF18" i="16" s="1"/>
  <c r="AW17" i="16"/>
  <c r="BF17" i="16" s="1"/>
  <c r="AX17" i="16"/>
  <c r="BG17" i="16" s="1"/>
  <c r="AY17" i="16"/>
  <c r="BH17" i="16" s="1"/>
  <c r="AZ17" i="16"/>
  <c r="BI17" i="16" s="1"/>
  <c r="BA17" i="16"/>
  <c r="BJ17" i="16" s="1"/>
  <c r="BB17" i="16"/>
  <c r="BK17" i="16" s="1"/>
  <c r="AX18" i="16"/>
  <c r="BG18" i="16" s="1"/>
  <c r="AY18" i="16"/>
  <c r="BH18" i="16" s="1"/>
  <c r="AZ18" i="16"/>
  <c r="BI18" i="16" s="1"/>
  <c r="BA18" i="16"/>
  <c r="BJ18" i="16" s="1"/>
  <c r="BB18" i="16"/>
  <c r="BK18" i="16" s="1"/>
  <c r="AW19" i="16"/>
  <c r="BF19" i="16" s="1"/>
  <c r="AX19" i="16"/>
  <c r="BG19" i="16" s="1"/>
  <c r="AY19" i="16"/>
  <c r="BH19" i="16" s="1"/>
  <c r="AZ19" i="16"/>
  <c r="BI19" i="16" s="1"/>
  <c r="BA19" i="16"/>
  <c r="BJ19" i="16" s="1"/>
  <c r="BB19" i="16"/>
  <c r="BK19" i="16" s="1"/>
  <c r="AW20" i="16"/>
  <c r="BF20" i="16" s="1"/>
  <c r="AX20" i="16"/>
  <c r="BG20" i="16" s="1"/>
  <c r="AY20" i="16"/>
  <c r="BH20" i="16" s="1"/>
  <c r="AZ20" i="16"/>
  <c r="BI20" i="16" s="1"/>
  <c r="BA20" i="16"/>
  <c r="BJ20" i="16" s="1"/>
  <c r="BB20" i="16"/>
  <c r="BK20" i="16" s="1"/>
  <c r="AW21" i="16"/>
  <c r="BF21" i="16" s="1"/>
  <c r="AX21" i="16"/>
  <c r="BG21" i="16" s="1"/>
  <c r="AY21" i="16"/>
  <c r="BH21" i="16" s="1"/>
  <c r="AZ21" i="16"/>
  <c r="BI21" i="16" s="1"/>
  <c r="BA21" i="16"/>
  <c r="BJ21" i="16" s="1"/>
  <c r="BB21" i="16"/>
  <c r="BK21" i="16" s="1"/>
  <c r="AW22" i="16"/>
  <c r="BF22" i="16" s="1"/>
  <c r="AX22" i="16"/>
  <c r="BG22" i="16" s="1"/>
  <c r="AY22" i="16"/>
  <c r="BH22" i="16" s="1"/>
  <c r="AZ22" i="16"/>
  <c r="BI22" i="16" s="1"/>
  <c r="BA22" i="16"/>
  <c r="BJ22" i="16" s="1"/>
  <c r="BB22" i="16"/>
  <c r="BK22" i="16" s="1"/>
  <c r="AW23" i="16"/>
  <c r="BF23" i="16" s="1"/>
  <c r="AX23" i="16"/>
  <c r="BG23" i="16" s="1"/>
  <c r="AY23" i="16"/>
  <c r="BH23" i="16" s="1"/>
  <c r="AZ23" i="16"/>
  <c r="BI23" i="16" s="1"/>
  <c r="BA23" i="16"/>
  <c r="BJ23" i="16" s="1"/>
  <c r="BB23" i="16"/>
  <c r="BK23" i="16" s="1"/>
  <c r="AW24" i="16"/>
  <c r="BF24" i="16" s="1"/>
  <c r="AX24" i="16"/>
  <c r="BG24" i="16" s="1"/>
  <c r="AY24" i="16"/>
  <c r="BH24" i="16" s="1"/>
  <c r="AZ24" i="16"/>
  <c r="BI24" i="16" s="1"/>
  <c r="BA24" i="16"/>
  <c r="BJ24" i="16" s="1"/>
  <c r="BB24" i="16"/>
  <c r="BK24" i="16" s="1"/>
  <c r="AW25" i="16"/>
  <c r="BF25" i="16" s="1"/>
  <c r="AX25" i="16"/>
  <c r="BG25" i="16" s="1"/>
  <c r="AY25" i="16"/>
  <c r="BH25" i="16" s="1"/>
  <c r="AZ25" i="16"/>
  <c r="BI25" i="16" s="1"/>
  <c r="BA25" i="16"/>
  <c r="BJ25" i="16" s="1"/>
  <c r="BB25" i="16"/>
  <c r="BK25" i="16" s="1"/>
  <c r="AV18" i="16"/>
  <c r="BE18" i="16" s="1"/>
  <c r="AV19" i="16"/>
  <c r="BE19" i="16" s="1"/>
  <c r="AV20" i="16"/>
  <c r="BE20" i="16" s="1"/>
  <c r="AV21" i="16"/>
  <c r="BE21" i="16" s="1"/>
  <c r="AV22" i="16"/>
  <c r="BE22" i="16" s="1"/>
  <c r="AV23" i="16"/>
  <c r="BE23" i="16" s="1"/>
  <c r="AV24" i="16"/>
  <c r="BE24" i="16" s="1"/>
  <c r="AV25" i="16"/>
  <c r="BE25" i="16" s="1"/>
  <c r="AV17" i="16"/>
  <c r="BE17" i="16" s="1"/>
  <c r="L5" i="16"/>
  <c r="U5" i="16" s="1"/>
  <c r="AD5" i="16" s="1"/>
  <c r="M5" i="16"/>
  <c r="V5" i="16" s="1"/>
  <c r="AE5" i="16" s="1"/>
  <c r="N5" i="16"/>
  <c r="W5" i="16" s="1"/>
  <c r="AF5" i="16" s="1"/>
  <c r="O5" i="16"/>
  <c r="X5" i="16" s="1"/>
  <c r="P5" i="16"/>
  <c r="Y5" i="16" s="1"/>
  <c r="AH5" i="16" s="1"/>
  <c r="Q5" i="16"/>
  <c r="Z5" i="16" s="1"/>
  <c r="AI5" i="16" s="1"/>
  <c r="R5" i="16"/>
  <c r="AA5" i="16" s="1"/>
  <c r="AJ5" i="16" s="1"/>
  <c r="AV5" i="16"/>
  <c r="BE5" i="16" s="1"/>
  <c r="BN5" i="16" s="1"/>
  <c r="AW5" i="16"/>
  <c r="BF5" i="16" s="1"/>
  <c r="BO5" i="16" s="1"/>
  <c r="AX5" i="16"/>
  <c r="BG5" i="16" s="1"/>
  <c r="BP5" i="16" s="1"/>
  <c r="AY5" i="16"/>
  <c r="BH5" i="16" s="1"/>
  <c r="BQ5" i="16" s="1"/>
  <c r="AZ5" i="16"/>
  <c r="BI5" i="16" s="1"/>
  <c r="BR5" i="16" s="1"/>
  <c r="BA5" i="16"/>
  <c r="BJ5" i="16" s="1"/>
  <c r="BB5" i="16"/>
  <c r="BK5" i="16" s="1"/>
  <c r="BT5" i="16" s="1"/>
  <c r="L6" i="16"/>
  <c r="L31" i="16" s="1"/>
  <c r="M6" i="16"/>
  <c r="V6" i="16" s="1"/>
  <c r="AE6" i="16" s="1"/>
  <c r="N6" i="16"/>
  <c r="W6" i="16" s="1"/>
  <c r="AF6" i="16" s="1"/>
  <c r="O6" i="16"/>
  <c r="X6" i="16" s="1"/>
  <c r="AG6" i="16" s="1"/>
  <c r="P6" i="16"/>
  <c r="Y6" i="16" s="1"/>
  <c r="AH6" i="16" s="1"/>
  <c r="Q6" i="16"/>
  <c r="Z6" i="16" s="1"/>
  <c r="AI6" i="16" s="1"/>
  <c r="R6" i="16"/>
  <c r="AA6" i="16" s="1"/>
  <c r="AJ6" i="16" s="1"/>
  <c r="AV6" i="16"/>
  <c r="BE6" i="16" s="1"/>
  <c r="BN6" i="16" s="1"/>
  <c r="AW6" i="16"/>
  <c r="BF6" i="16" s="1"/>
  <c r="BO6" i="16" s="1"/>
  <c r="AX6" i="16"/>
  <c r="BG6" i="16" s="1"/>
  <c r="BP6" i="16" s="1"/>
  <c r="AY6" i="16"/>
  <c r="BH6" i="16" s="1"/>
  <c r="BQ6" i="16" s="1"/>
  <c r="AZ6" i="16"/>
  <c r="BI6" i="16" s="1"/>
  <c r="BR6" i="16" s="1"/>
  <c r="BA6" i="16"/>
  <c r="BB6" i="16"/>
  <c r="BK6" i="16" s="1"/>
  <c r="L7" i="16"/>
  <c r="U7" i="16" s="1"/>
  <c r="AD7" i="16" s="1"/>
  <c r="M7" i="16"/>
  <c r="V7" i="16" s="1"/>
  <c r="AE7" i="16" s="1"/>
  <c r="N7" i="16"/>
  <c r="W7" i="16" s="1"/>
  <c r="AF7" i="16" s="1"/>
  <c r="O7" i="16"/>
  <c r="X7" i="16" s="1"/>
  <c r="AG7" i="16" s="1"/>
  <c r="P7" i="16"/>
  <c r="Y7" i="16" s="1"/>
  <c r="AH7" i="16" s="1"/>
  <c r="Q7" i="16"/>
  <c r="Z7" i="16" s="1"/>
  <c r="AI7" i="16" s="1"/>
  <c r="R7" i="16"/>
  <c r="R18" i="16" s="1"/>
  <c r="AV7" i="16"/>
  <c r="BE7" i="16" s="1"/>
  <c r="BN7" i="16" s="1"/>
  <c r="AW7" i="16"/>
  <c r="BF7" i="16" s="1"/>
  <c r="BO7" i="16" s="1"/>
  <c r="AX7" i="16"/>
  <c r="BG7" i="16" s="1"/>
  <c r="BP7" i="16" s="1"/>
  <c r="AY7" i="16"/>
  <c r="BH7" i="16" s="1"/>
  <c r="BQ7" i="16" s="1"/>
  <c r="AZ7" i="16"/>
  <c r="BA7" i="16"/>
  <c r="BB7" i="16"/>
  <c r="BK7" i="16" s="1"/>
  <c r="BT7" i="16" s="1"/>
  <c r="L8" i="16"/>
  <c r="U8" i="16" s="1"/>
  <c r="AD8" i="16" s="1"/>
  <c r="M8" i="16"/>
  <c r="V8" i="16" s="1"/>
  <c r="AE8" i="16" s="1"/>
  <c r="N8" i="16"/>
  <c r="W8" i="16" s="1"/>
  <c r="AF8" i="16" s="1"/>
  <c r="O8" i="16"/>
  <c r="X8" i="16" s="1"/>
  <c r="AG8" i="16" s="1"/>
  <c r="P8" i="16"/>
  <c r="P19" i="16" s="1"/>
  <c r="Q8" i="16"/>
  <c r="Q19" i="16" s="1"/>
  <c r="R8" i="16"/>
  <c r="AA8" i="16" s="1"/>
  <c r="AJ8" i="16" s="1"/>
  <c r="AV8" i="16"/>
  <c r="BE8" i="16" s="1"/>
  <c r="BN8" i="16" s="1"/>
  <c r="AW8" i="16"/>
  <c r="BF8" i="16" s="1"/>
  <c r="BO8" i="16" s="1"/>
  <c r="AX8" i="16"/>
  <c r="BG8" i="16" s="1"/>
  <c r="BP8" i="16" s="1"/>
  <c r="AY8" i="16"/>
  <c r="BH8" i="16" s="1"/>
  <c r="BQ8" i="16" s="1"/>
  <c r="AZ8" i="16"/>
  <c r="BI8" i="16" s="1"/>
  <c r="BR8" i="16" s="1"/>
  <c r="BA8" i="16"/>
  <c r="BJ8" i="16" s="1"/>
  <c r="BB8" i="16"/>
  <c r="BK8" i="16" s="1"/>
  <c r="BT8" i="16" s="1"/>
  <c r="L9" i="16"/>
  <c r="U9" i="16" s="1"/>
  <c r="AD9" i="16" s="1"/>
  <c r="M9" i="16"/>
  <c r="V9" i="16" s="1"/>
  <c r="AE9" i="16" s="1"/>
  <c r="N9" i="16"/>
  <c r="N20" i="16" s="1"/>
  <c r="O9" i="16"/>
  <c r="O20" i="16" s="1"/>
  <c r="P9" i="16"/>
  <c r="Y9" i="16" s="1"/>
  <c r="AH9" i="16" s="1"/>
  <c r="Q9" i="16"/>
  <c r="Z9" i="16" s="1"/>
  <c r="AI9" i="16" s="1"/>
  <c r="R9" i="16"/>
  <c r="AA9" i="16" s="1"/>
  <c r="AJ9" i="16" s="1"/>
  <c r="AV9" i="16"/>
  <c r="BE9" i="16" s="1"/>
  <c r="BN9" i="16" s="1"/>
  <c r="AW9" i="16"/>
  <c r="BF9" i="16" s="1"/>
  <c r="BO9" i="16" s="1"/>
  <c r="AX9" i="16"/>
  <c r="BG9" i="16" s="1"/>
  <c r="BP9" i="16" s="1"/>
  <c r="AY9" i="16"/>
  <c r="BH9" i="16" s="1"/>
  <c r="BQ9" i="16" s="1"/>
  <c r="AZ9" i="16"/>
  <c r="BI9" i="16" s="1"/>
  <c r="BR9" i="16" s="1"/>
  <c r="BA9" i="16"/>
  <c r="BJ9" i="16" s="1"/>
  <c r="BB9" i="16"/>
  <c r="BK9" i="16" s="1"/>
  <c r="BT9" i="16" s="1"/>
  <c r="L10" i="16"/>
  <c r="L21" i="16" s="1"/>
  <c r="M10" i="16"/>
  <c r="V10" i="16" s="1"/>
  <c r="AE10" i="16" s="1"/>
  <c r="N10" i="16"/>
  <c r="W10" i="16" s="1"/>
  <c r="AF10" i="16" s="1"/>
  <c r="O10" i="16"/>
  <c r="X10" i="16" s="1"/>
  <c r="AG10" i="16" s="1"/>
  <c r="P10" i="16"/>
  <c r="Y10" i="16" s="1"/>
  <c r="AH10" i="16" s="1"/>
  <c r="Q10" i="16"/>
  <c r="Z10" i="16" s="1"/>
  <c r="AI10" i="16" s="1"/>
  <c r="R10" i="16"/>
  <c r="AA10" i="16" s="1"/>
  <c r="AJ10" i="16" s="1"/>
  <c r="AV10" i="16"/>
  <c r="BE10" i="16" s="1"/>
  <c r="BN10" i="16" s="1"/>
  <c r="AW10" i="16"/>
  <c r="BF10" i="16" s="1"/>
  <c r="BO10" i="16" s="1"/>
  <c r="AX10" i="16"/>
  <c r="BG10" i="16" s="1"/>
  <c r="BP10" i="16" s="1"/>
  <c r="AY10" i="16"/>
  <c r="BH10" i="16" s="1"/>
  <c r="BQ10" i="16" s="1"/>
  <c r="AZ10" i="16"/>
  <c r="BI10" i="16" s="1"/>
  <c r="BR10" i="16" s="1"/>
  <c r="BA10" i="16"/>
  <c r="BJ10" i="16" s="1"/>
  <c r="BB10" i="16"/>
  <c r="L11" i="16"/>
  <c r="U11" i="16" s="1"/>
  <c r="AD11" i="16" s="1"/>
  <c r="M11" i="16"/>
  <c r="V11" i="16" s="1"/>
  <c r="AE11" i="16" s="1"/>
  <c r="N11" i="16"/>
  <c r="W11" i="16" s="1"/>
  <c r="AF11" i="16" s="1"/>
  <c r="O11" i="16"/>
  <c r="X11" i="16" s="1"/>
  <c r="AG11" i="16" s="1"/>
  <c r="P11" i="16"/>
  <c r="Y11" i="16" s="1"/>
  <c r="AH11" i="16" s="1"/>
  <c r="Q11" i="16"/>
  <c r="Z11" i="16" s="1"/>
  <c r="AI11" i="16" s="1"/>
  <c r="R11" i="16"/>
  <c r="AA11" i="16" s="1"/>
  <c r="AJ11" i="16" s="1"/>
  <c r="AV11" i="16"/>
  <c r="BE11" i="16" s="1"/>
  <c r="BN11" i="16" s="1"/>
  <c r="AW11" i="16"/>
  <c r="BF11" i="16" s="1"/>
  <c r="BO11" i="16" s="1"/>
  <c r="AX11" i="16"/>
  <c r="BG11" i="16" s="1"/>
  <c r="BP11" i="16" s="1"/>
  <c r="AY11" i="16"/>
  <c r="BH11" i="16" s="1"/>
  <c r="BQ11" i="16" s="1"/>
  <c r="AZ11" i="16"/>
  <c r="BI11" i="16" s="1"/>
  <c r="BA11" i="16"/>
  <c r="BJ11" i="16" s="1"/>
  <c r="BB11" i="16"/>
  <c r="BK11" i="16" s="1"/>
  <c r="BT11" i="16" s="1"/>
  <c r="L12" i="16"/>
  <c r="U12" i="16" s="1"/>
  <c r="AD12" i="16" s="1"/>
  <c r="M12" i="16"/>
  <c r="M23" i="16" s="1"/>
  <c r="N12" i="16"/>
  <c r="W12" i="16" s="1"/>
  <c r="AF12" i="16" s="1"/>
  <c r="O12" i="16"/>
  <c r="X12" i="16" s="1"/>
  <c r="AG12" i="16" s="1"/>
  <c r="P12" i="16"/>
  <c r="P23" i="16" s="1"/>
  <c r="Q12" i="16"/>
  <c r="Q23" i="16" s="1"/>
  <c r="R12" i="16"/>
  <c r="AA12" i="16" s="1"/>
  <c r="AJ12" i="16" s="1"/>
  <c r="AV12" i="16"/>
  <c r="BE12" i="16" s="1"/>
  <c r="BN12" i="16" s="1"/>
  <c r="AW12" i="16"/>
  <c r="BF12" i="16" s="1"/>
  <c r="BO12" i="16" s="1"/>
  <c r="AX12" i="16"/>
  <c r="BG12" i="16" s="1"/>
  <c r="BP12" i="16" s="1"/>
  <c r="AY12" i="16"/>
  <c r="BH12" i="16" s="1"/>
  <c r="BQ12" i="16" s="1"/>
  <c r="AZ12" i="16"/>
  <c r="BI12" i="16" s="1"/>
  <c r="BR12" i="16" s="1"/>
  <c r="BA12" i="16"/>
  <c r="BJ12" i="16" s="1"/>
  <c r="BB12" i="16"/>
  <c r="BK12" i="16" s="1"/>
  <c r="BT12" i="16" s="1"/>
  <c r="L13" i="16"/>
  <c r="U13" i="16" s="1"/>
  <c r="AD13" i="16" s="1"/>
  <c r="M13" i="16"/>
  <c r="V13" i="16" s="1"/>
  <c r="AE13" i="16" s="1"/>
  <c r="N13" i="16"/>
  <c r="N24" i="16" s="1"/>
  <c r="O13" i="16"/>
  <c r="X13" i="16" s="1"/>
  <c r="AG13" i="16" s="1"/>
  <c r="P13" i="16"/>
  <c r="P24" i="16" s="1"/>
  <c r="Q13" i="16"/>
  <c r="Z13" i="16" s="1"/>
  <c r="AI13" i="16" s="1"/>
  <c r="R13" i="16"/>
  <c r="AA13" i="16" s="1"/>
  <c r="AJ13" i="16" s="1"/>
  <c r="AV13" i="16"/>
  <c r="BE13" i="16" s="1"/>
  <c r="BN13" i="16" s="1"/>
  <c r="AW13" i="16"/>
  <c r="BF13" i="16" s="1"/>
  <c r="BO13" i="16" s="1"/>
  <c r="AX13" i="16"/>
  <c r="BG13" i="16" s="1"/>
  <c r="BP13" i="16" s="1"/>
  <c r="AY13" i="16"/>
  <c r="BH13" i="16" s="1"/>
  <c r="BQ13" i="16" s="1"/>
  <c r="AZ13" i="16"/>
  <c r="BI13" i="16" s="1"/>
  <c r="BR13" i="16" s="1"/>
  <c r="BA13" i="16"/>
  <c r="BB13" i="16"/>
  <c r="BK13" i="16" s="1"/>
  <c r="BT13" i="16" s="1"/>
  <c r="M16" i="16"/>
  <c r="O16" i="16"/>
  <c r="P16" i="16"/>
  <c r="Q16" i="16"/>
  <c r="M17" i="16"/>
  <c r="N17" i="16"/>
  <c r="O17" i="16"/>
  <c r="Q17" i="16"/>
  <c r="R17" i="16"/>
  <c r="L18" i="16"/>
  <c r="M18" i="16"/>
  <c r="O18" i="16"/>
  <c r="P18" i="16"/>
  <c r="Q18" i="16"/>
  <c r="M19" i="16"/>
  <c r="O19" i="16"/>
  <c r="R19" i="16"/>
  <c r="L20" i="16"/>
  <c r="M20" i="16"/>
  <c r="Q20" i="16"/>
  <c r="M21" i="16"/>
  <c r="L22" i="16"/>
  <c r="O22" i="16"/>
  <c r="N23" i="16"/>
  <c r="R23" i="16"/>
  <c r="Q24" i="16"/>
  <c r="R24" i="16"/>
  <c r="L30" i="16"/>
  <c r="M30" i="16"/>
  <c r="N30" i="16"/>
  <c r="O30" i="16"/>
  <c r="P30" i="16"/>
  <c r="Q30" i="16"/>
  <c r="R30" i="16"/>
  <c r="M31" i="16"/>
  <c r="N31" i="16"/>
  <c r="O31" i="16"/>
  <c r="P31" i="16"/>
  <c r="Q31" i="16"/>
  <c r="R31" i="16"/>
  <c r="M32" i="16"/>
  <c r="O32" i="16"/>
  <c r="P32" i="16"/>
  <c r="Q32" i="16"/>
  <c r="N33" i="16"/>
  <c r="O33" i="16"/>
  <c r="R33" i="16"/>
  <c r="L34" i="16"/>
  <c r="M34" i="16"/>
  <c r="O34" i="16"/>
  <c r="Q34" i="16"/>
  <c r="M35" i="16"/>
  <c r="N35" i="16"/>
  <c r="Q35" i="16"/>
  <c r="M36" i="16"/>
  <c r="P36" i="16"/>
  <c r="P38" i="16"/>
  <c r="X57" i="16"/>
  <c r="Y57" i="16"/>
  <c r="Z57" i="16"/>
  <c r="AA57" i="16"/>
  <c r="AB57" i="16"/>
  <c r="X58" i="16"/>
  <c r="X63" i="16" s="1"/>
  <c r="Y58" i="16"/>
  <c r="Z58" i="16"/>
  <c r="AA58" i="16"/>
  <c r="AB58" i="16"/>
  <c r="X59" i="16"/>
  <c r="Y59" i="16"/>
  <c r="Z59" i="16"/>
  <c r="AA59" i="16"/>
  <c r="AB59" i="16"/>
  <c r="Y61" i="16"/>
  <c r="Z61" i="16"/>
  <c r="AA61" i="16"/>
  <c r="AB61" i="16"/>
  <c r="X67" i="16"/>
  <c r="Y67" i="16"/>
  <c r="Z67" i="16"/>
  <c r="AA67" i="16"/>
  <c r="AB67" i="16"/>
  <c r="X68" i="16"/>
  <c r="Y68" i="16"/>
  <c r="Z68" i="16"/>
  <c r="AA68" i="16"/>
  <c r="AB68" i="16"/>
  <c r="X69" i="16"/>
  <c r="Y69" i="16"/>
  <c r="Z69" i="16"/>
  <c r="AA69" i="16"/>
  <c r="AB69" i="16"/>
  <c r="L33" i="16" l="1"/>
  <c r="L19" i="16"/>
  <c r="N18" i="16"/>
  <c r="Z12" i="16"/>
  <c r="AI12" i="16" s="1"/>
  <c r="P33" i="16"/>
  <c r="P17" i="16"/>
  <c r="R16" i="16"/>
  <c r="N16" i="16"/>
  <c r="M38" i="16"/>
  <c r="R22" i="16"/>
  <c r="R35" i="16"/>
  <c r="L32" i="16"/>
  <c r="L24" i="16"/>
  <c r="L16" i="16"/>
  <c r="AA63" i="16"/>
  <c r="AA62" i="16"/>
  <c r="P35" i="16"/>
  <c r="Q33" i="16"/>
  <c r="Q21" i="16"/>
  <c r="O36" i="16"/>
  <c r="M33" i="16"/>
  <c r="Z8" i="16"/>
  <c r="AI8" i="16" s="1"/>
  <c r="Y13" i="16"/>
  <c r="AH13" i="16" s="1"/>
  <c r="Y66" i="16"/>
  <c r="Q37" i="16"/>
  <c r="M24" i="16"/>
  <c r="O21" i="16"/>
  <c r="X9" i="16"/>
  <c r="AG9" i="16" s="1"/>
  <c r="O37" i="16"/>
  <c r="N22" i="16"/>
  <c r="Z63" i="16"/>
  <c r="R38" i="16"/>
  <c r="O23" i="16"/>
  <c r="AB66" i="16"/>
  <c r="AB62" i="16"/>
  <c r="AB63" i="16"/>
  <c r="O38" i="16"/>
  <c r="L36" i="16"/>
  <c r="P34" i="16"/>
  <c r="O24" i="16"/>
  <c r="P22" i="16"/>
  <c r="P20" i="16"/>
  <c r="V12" i="16"/>
  <c r="AE12" i="16" s="1"/>
  <c r="L37" i="16"/>
  <c r="O35" i="16"/>
  <c r="Y64" i="16"/>
  <c r="Z62" i="16"/>
  <c r="R37" i="16"/>
  <c r="Q22" i="16"/>
  <c r="N21" i="16"/>
  <c r="BS5" i="16"/>
  <c r="BS8" i="16"/>
  <c r="BK10" i="16"/>
  <c r="BT10" i="16" s="1"/>
  <c r="BI7" i="16"/>
  <c r="BR7" i="16" s="1"/>
  <c r="AB64" i="16"/>
  <c r="Y63" i="16"/>
  <c r="Q38" i="16"/>
  <c r="Q36" i="16"/>
  <c r="M22" i="16"/>
  <c r="BS9" i="16"/>
  <c r="BJ13" i="16"/>
  <c r="BS13" i="16" s="1"/>
  <c r="BJ6" i="16"/>
  <c r="BS6" i="16" s="1"/>
  <c r="BS10" i="16"/>
  <c r="BJ7" i="16"/>
  <c r="BS7" i="16" s="1"/>
  <c r="BR11" i="16"/>
  <c r="BT6" i="16"/>
  <c r="BS11" i="16"/>
  <c r="BS12" i="16"/>
  <c r="AA64" i="16"/>
  <c r="L38" i="16"/>
  <c r="R36" i="16"/>
  <c r="N32" i="16"/>
  <c r="P21" i="16"/>
  <c r="N19" i="16"/>
  <c r="L17" i="16"/>
  <c r="W13" i="16"/>
  <c r="AF13" i="16" s="1"/>
  <c r="Y12" i="16"/>
  <c r="AH12" i="16" s="1"/>
  <c r="U10" i="16"/>
  <c r="AD10" i="16" s="1"/>
  <c r="W9" i="16"/>
  <c r="AF9" i="16" s="1"/>
  <c r="Y8" i="16"/>
  <c r="AH8" i="16" s="1"/>
  <c r="AA7" i="16"/>
  <c r="AJ7" i="16" s="1"/>
  <c r="U6" i="16"/>
  <c r="AD6" i="16" s="1"/>
  <c r="Z66" i="16"/>
  <c r="X62" i="16"/>
  <c r="N38" i="16"/>
  <c r="M37" i="16"/>
  <c r="R34" i="16"/>
  <c r="L23" i="16"/>
  <c r="R21" i="16"/>
  <c r="AA66" i="16"/>
  <c r="Y62" i="16"/>
  <c r="N37" i="16"/>
  <c r="L35" i="16"/>
  <c r="R20" i="16"/>
  <c r="X64" i="16"/>
  <c r="N36" i="16"/>
  <c r="R32" i="16"/>
  <c r="P37" i="16"/>
  <c r="Z64" i="16"/>
  <c r="N34" i="16"/>
  <c r="H9" i="9"/>
  <c r="G9" i="9"/>
  <c r="F9" i="9"/>
  <c r="E9" i="9"/>
  <c r="D9" i="9"/>
  <c r="C9" i="9"/>
  <c r="B9" i="9"/>
  <c r="L5" i="9" l="1"/>
  <c r="M5" i="9"/>
  <c r="N5" i="9"/>
  <c r="O5" i="9"/>
  <c r="P5" i="9"/>
  <c r="Q5" i="9"/>
  <c r="L6" i="9"/>
  <c r="M6" i="9"/>
  <c r="N6" i="9"/>
  <c r="O6" i="9"/>
  <c r="P6" i="9"/>
  <c r="Q6" i="9"/>
  <c r="L7" i="9"/>
  <c r="M7" i="9"/>
  <c r="N7" i="9"/>
  <c r="O7" i="9"/>
  <c r="P7" i="9"/>
  <c r="K6" i="9"/>
  <c r="K7" i="9"/>
  <c r="K5" i="9"/>
  <c r="T5" i="9" l="1"/>
  <c r="L9" i="9"/>
  <c r="AB5" i="9"/>
  <c r="AK5" i="9" s="1"/>
  <c r="W6" i="9"/>
  <c r="AE6" i="9"/>
  <c r="AN6" i="9" s="1"/>
  <c r="S7" i="9"/>
  <c r="AA7" i="9"/>
  <c r="AJ7" i="9" s="1"/>
  <c r="AG6" i="9"/>
  <c r="AP6" i="9" s="1"/>
  <c r="Y6" i="9"/>
  <c r="W5" i="9"/>
  <c r="AE5" i="9"/>
  <c r="AN5" i="9" s="1"/>
  <c r="O9" i="9"/>
  <c r="U5" i="9"/>
  <c r="AC5" i="9"/>
  <c r="AL5" i="9" s="1"/>
  <c r="M9" i="9"/>
  <c r="S5" i="9"/>
  <c r="AA5" i="9"/>
  <c r="AJ5" i="9" s="1"/>
  <c r="K9" i="9"/>
  <c r="AF5" i="9"/>
  <c r="AO5" i="9" s="1"/>
  <c r="X5" i="9"/>
  <c r="P9" i="9"/>
  <c r="X7" i="9"/>
  <c r="AF7" i="9"/>
  <c r="AO7" i="9" s="1"/>
  <c r="X6" i="9"/>
  <c r="AF6" i="9"/>
  <c r="AO6" i="9" s="1"/>
  <c r="U7" i="9"/>
  <c r="AC7" i="9"/>
  <c r="AL7" i="9" s="1"/>
  <c r="AG5" i="9"/>
  <c r="AP5" i="9" s="1"/>
  <c r="Y5" i="9"/>
  <c r="S6" i="9"/>
  <c r="AA6" i="9"/>
  <c r="AJ6" i="9" s="1"/>
  <c r="V7" i="9"/>
  <c r="AD7" i="9"/>
  <c r="AM7" i="9" s="1"/>
  <c r="T6" i="9"/>
  <c r="AB6" i="9"/>
  <c r="AK6" i="9" s="1"/>
  <c r="V6" i="9"/>
  <c r="AD6" i="9"/>
  <c r="AM6" i="9" s="1"/>
  <c r="V5" i="9"/>
  <c r="N9" i="9"/>
  <c r="AD5" i="9"/>
  <c r="AM5" i="9" s="1"/>
  <c r="T7" i="9"/>
  <c r="AB7" i="9"/>
  <c r="AK7" i="9" s="1"/>
  <c r="W7" i="9"/>
  <c r="AE7" i="9"/>
  <c r="AN7" i="9" s="1"/>
  <c r="U6" i="9"/>
  <c r="AC6" i="9"/>
  <c r="AL6" i="9" s="1"/>
  <c r="Q9" i="9"/>
  <c r="AP9" i="9" l="1"/>
  <c r="Y11" i="9"/>
  <c r="AO9" i="9"/>
  <c r="AD9" i="9"/>
  <c r="AD11" i="9"/>
  <c r="W11" i="9"/>
  <c r="W9" i="9"/>
  <c r="AB9" i="9"/>
  <c r="AB11" i="9"/>
  <c r="X11" i="9"/>
  <c r="X9" i="9"/>
  <c r="T11" i="9"/>
  <c r="T9" i="9"/>
  <c r="AE9" i="9"/>
  <c r="AE11" i="9"/>
  <c r="U9" i="9"/>
  <c r="AN9" i="9"/>
  <c r="AF9" i="9"/>
  <c r="AF11" i="9"/>
  <c r="AC9" i="9"/>
  <c r="AC11" i="9"/>
  <c r="U11" i="9"/>
  <c r="AA9" i="9"/>
  <c r="AA11" i="9"/>
  <c r="V11" i="9"/>
  <c r="V9" i="9"/>
  <c r="Y9" i="9"/>
  <c r="AG9" i="9"/>
  <c r="AG11" i="9"/>
  <c r="AO11" i="9" l="1"/>
  <c r="AJ9" i="9"/>
  <c r="AJ11" i="9"/>
  <c r="AL9" i="9"/>
  <c r="AL11" i="9"/>
  <c r="AM11" i="9"/>
  <c r="AM9" i="9"/>
  <c r="AK9" i="9"/>
  <c r="AK11" i="9"/>
  <c r="AN11" i="9"/>
  <c r="AP11" i="9"/>
  <c r="K19" i="2"/>
  <c r="G19" i="2"/>
  <c r="E19" i="2"/>
  <c r="E13" i="2"/>
  <c r="G13" i="2"/>
  <c r="AQ9" i="9" l="1"/>
  <c r="Q19" i="2"/>
  <c r="O19" i="2"/>
  <c r="M19" i="2"/>
  <c r="I19" i="2"/>
  <c r="Q13" i="2"/>
  <c r="O13" i="2"/>
  <c r="M13" i="2"/>
  <c r="K13" i="2"/>
  <c r="I13" i="2"/>
  <c r="Q5" i="2"/>
  <c r="Q6" i="2" s="1"/>
  <c r="Q20" i="2" s="1"/>
  <c r="Q23" i="2" s="1"/>
  <c r="Q36" i="2" s="1"/>
  <c r="Q41" i="2" s="1"/>
  <c r="O5" i="2"/>
  <c r="O6" i="2" s="1"/>
  <c r="M5" i="2"/>
  <c r="M6" i="2" s="1"/>
  <c r="K5" i="2"/>
  <c r="K6" i="2" s="1"/>
  <c r="I5" i="2"/>
  <c r="I6" i="2" s="1"/>
  <c r="I15" i="2" s="1"/>
  <c r="G5" i="2"/>
  <c r="G6" i="2" s="1"/>
  <c r="G15" i="2" s="1"/>
  <c r="E5" i="2"/>
  <c r="E6" i="2" s="1"/>
  <c r="Q27" i="2" l="1"/>
  <c r="I42" i="2"/>
  <c r="G42" i="2"/>
  <c r="O20" i="2"/>
  <c r="O23" i="2" s="1"/>
  <c r="O27" i="2" s="1"/>
  <c r="O15" i="2"/>
  <c r="M20" i="2"/>
  <c r="M23" i="2" s="1"/>
  <c r="M27" i="2" s="1"/>
  <c r="M15" i="2"/>
  <c r="K15" i="2"/>
  <c r="K20" i="2"/>
  <c r="K23" i="2" s="1"/>
  <c r="K27" i="2" s="1"/>
  <c r="E15" i="2"/>
  <c r="E20" i="2"/>
  <c r="E23" i="2" s="1"/>
  <c r="Q15" i="2"/>
  <c r="Q29" i="2" s="1"/>
  <c r="I20" i="2"/>
  <c r="I23" i="2" s="1"/>
  <c r="I27" i="2" s="1"/>
  <c r="I29" i="2" s="1"/>
  <c r="G20" i="2"/>
  <c r="G23" i="2" s="1"/>
  <c r="G27" i="2" s="1"/>
  <c r="G29" i="2" s="1"/>
  <c r="M29" i="2" l="1"/>
  <c r="K29" i="2"/>
  <c r="E42" i="2"/>
  <c r="E38" i="2"/>
  <c r="E29" i="2"/>
  <c r="E36" i="2"/>
  <c r="E27" i="2"/>
  <c r="O29" i="2"/>
  <c r="M36" i="2"/>
  <c r="M41" i="2" s="1"/>
  <c r="M43" i="2" s="1"/>
  <c r="G36" i="2"/>
  <c r="G41" i="2" s="1"/>
  <c r="G43" i="2" s="1"/>
  <c r="I36" i="2"/>
  <c r="I41" i="2" s="1"/>
  <c r="I43" i="2" s="1"/>
  <c r="E41" i="2"/>
  <c r="E43" i="2" s="1"/>
  <c r="O36" i="2"/>
  <c r="O41" i="2" s="1"/>
  <c r="K36" i="2"/>
  <c r="K41" i="2" s="1"/>
  <c r="K43" i="2" s="1"/>
  <c r="M42" i="2"/>
  <c r="Q38" i="2"/>
  <c r="Q42" i="2"/>
  <c r="Q43" i="2" s="1"/>
  <c r="K38" i="2"/>
  <c r="K42" i="2"/>
  <c r="O42" i="2"/>
  <c r="I38" i="2" l="1"/>
  <c r="O38" i="2"/>
  <c r="O43" i="2"/>
  <c r="G38" i="2"/>
  <c r="M38" i="2"/>
  <c r="S9" i="9" l="1"/>
  <c r="S11" i="9"/>
  <c r="AD14" i="16"/>
</calcChain>
</file>

<file path=xl/sharedStrings.xml><?xml version="1.0" encoding="utf-8"?>
<sst xmlns="http://schemas.openxmlformats.org/spreadsheetml/2006/main" count="262" uniqueCount="98">
  <si>
    <t>Fe3O4</t>
  </si>
  <si>
    <t>Average Conversion</t>
  </si>
  <si>
    <t>rate (mmol/min)</t>
  </si>
  <si>
    <t>rate (mmol/min /g Fe3O4)</t>
  </si>
  <si>
    <t>Fe3O4/SiO2 (9.7 nm)</t>
  </si>
  <si>
    <t>Fe3O4/SiO2 (16.6 nm)</t>
  </si>
  <si>
    <t>Fe3O4/SiO2 (18.3 nm)</t>
  </si>
  <si>
    <t>Fe3O4/SiO2 (27.8 nm)</t>
  </si>
  <si>
    <t>Fe3O4/SiO2 (38.9 nm)</t>
  </si>
  <si>
    <t>Fe3O4/SiO2 (44.7 nm)</t>
  </si>
  <si>
    <t>rate (mmol/min /g /m2)</t>
  </si>
  <si>
    <t xml:space="preserve">acetone production rate (mmol/min)  =   (selectivity*conversion)*flow rate of AcOH </t>
  </si>
  <si>
    <t xml:space="preserve">acetone production rate per g (mmol/min /g Fe3O4)  </t>
  </si>
  <si>
    <t xml:space="preserve">acetone production rate per g (mmol/min /g /m2 Fe3O4)  </t>
  </si>
  <si>
    <t>particle size</t>
  </si>
  <si>
    <t>average</t>
  </si>
  <si>
    <t>4%Fe3O4/SiO2</t>
  </si>
  <si>
    <t>8%Fe3O4/SiO2</t>
  </si>
  <si>
    <t>catalyst (g)</t>
  </si>
  <si>
    <t>mmol /hr converted</t>
  </si>
  <si>
    <t>Density of Fe3O4: 5.175 g/cm3</t>
  </si>
  <si>
    <t>Density of Fe3O4:</t>
  </si>
  <si>
    <t>g/m3</t>
  </si>
  <si>
    <t>d (nm)</t>
  </si>
  <si>
    <t>d (m)</t>
  </si>
  <si>
    <t>r (m)</t>
  </si>
  <si>
    <t>m2 /g</t>
  </si>
  <si>
    <t>14%Fe3O4/SiO2</t>
  </si>
  <si>
    <t>28%Fe3O4/SiO2</t>
  </si>
  <si>
    <t>36%Fe3O4/SiO2</t>
  </si>
  <si>
    <t>56%Fe3O4/SiO2</t>
  </si>
  <si>
    <t>63%Fe3O4/SiO2</t>
  </si>
  <si>
    <t>g</t>
  </si>
  <si>
    <r>
      <t xml:space="preserve">surface of a sphere = 4 </t>
    </r>
    <r>
      <rPr>
        <sz val="11"/>
        <color theme="1"/>
        <rFont val="Calibri"/>
        <family val="2"/>
      </rPr>
      <t>π</t>
    </r>
    <r>
      <rPr>
        <sz val="11"/>
        <color theme="1"/>
        <rFont val="Calibri"/>
        <family val="2"/>
        <scheme val="minor"/>
      </rPr>
      <t xml:space="preserve"> r</t>
    </r>
    <r>
      <rPr>
        <vertAlign val="superscript"/>
        <sz val="11"/>
        <color theme="1"/>
        <rFont val="Calibri"/>
        <family val="2"/>
        <scheme val="minor"/>
      </rPr>
      <t>2</t>
    </r>
  </si>
  <si>
    <t>AREA OF 1 PARTICLE</t>
  </si>
  <si>
    <t xml:space="preserve">area  = </t>
  </si>
  <si>
    <t>nm2</t>
  </si>
  <si>
    <t xml:space="preserve">area = </t>
  </si>
  <si>
    <t>m2</t>
  </si>
  <si>
    <r>
      <t>volume of sphere = 4/3  π 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</si>
  <si>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VOLUME OF 1 PARTICLE</t>
  </si>
  <si>
    <t>volume =</t>
  </si>
  <si>
    <r>
      <t>nm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</si>
  <si>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</si>
  <si>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350 C</t>
  </si>
  <si>
    <t>MASS OF 1 PARTICLE</t>
  </si>
  <si>
    <t>DENSITY (g/m3) x VOLUME (m3)</t>
  </si>
  <si>
    <t>375 C</t>
  </si>
  <si>
    <t xml:space="preserve">mass = </t>
  </si>
  <si>
    <t>400 C</t>
  </si>
  <si>
    <t>gradient</t>
  </si>
  <si>
    <t>number of particles in the above mass of Fe3O4</t>
  </si>
  <si>
    <t>particles</t>
  </si>
  <si>
    <t>increase in cat loading</t>
  </si>
  <si>
    <t>surface area of the above particles</t>
  </si>
  <si>
    <t>increase in rate, 350 C</t>
  </si>
  <si>
    <t>increase in rate, 375 C</t>
  </si>
  <si>
    <t>increase in rate, 400 C</t>
  </si>
  <si>
    <t>ASSUMING HEMISPHERES</t>
  </si>
  <si>
    <t>number of particles</t>
  </si>
  <si>
    <t>area of hemisphere</t>
  </si>
  <si>
    <t>surface area</t>
  </si>
  <si>
    <t>number of particles in the above mass of 1g Fe3O4</t>
  </si>
  <si>
    <t>m2 /g of Fe3O4/SiO2 catalyst</t>
  </si>
  <si>
    <t>m2 /g Fe3O4</t>
  </si>
  <si>
    <t>Fe3O4/SiO2 (6.3 nm)</t>
  </si>
  <si>
    <t>g Fe3O4 in 1 g of Fe3O4/SiO2 catalyst</t>
  </si>
  <si>
    <t>184.03 m2 /g</t>
  </si>
  <si>
    <t>119.53 m2 /g</t>
  </si>
  <si>
    <t>69.84 m2 /g</t>
  </si>
  <si>
    <t>63.36 m2 /g</t>
  </si>
  <si>
    <t>41.71 m2 /g</t>
  </si>
  <si>
    <t>29.81 m2 /g</t>
  </si>
  <si>
    <t>25.94 m2 /g</t>
  </si>
  <si>
    <t>36%Fe3O4/SiO2 #2</t>
  </si>
  <si>
    <t>63%Fe3O4/SiO2 44nm</t>
  </si>
  <si>
    <t>RATE per g catalyst</t>
  </si>
  <si>
    <t>#1</t>
  </si>
  <si>
    <t>#2</t>
  </si>
  <si>
    <t>#3</t>
  </si>
  <si>
    <t>CONVERSION</t>
  </si>
  <si>
    <t>rate (mmol /min)</t>
  </si>
  <si>
    <t>rate (mmol /min /g Fe3O4)</t>
  </si>
  <si>
    <t>std errors</t>
  </si>
  <si>
    <t>TOFs</t>
  </si>
  <si>
    <t>TOF for TOTAL Fe acid sites</t>
  </si>
  <si>
    <t>400C</t>
  </si>
  <si>
    <t>rate (mmol /min /g catalyst)</t>
  </si>
  <si>
    <t>based on rate in mmol /min /g Fe3O4 and acid density in mmol /g Fe3O4</t>
  </si>
  <si>
    <t>bulk Fe3O4 tests</t>
  </si>
  <si>
    <t>Fe3O4 at different loadings to confirm it is the active phase</t>
  </si>
  <si>
    <t>catalyst mass (g)</t>
  </si>
  <si>
    <t>STANDARD ERRORS FOR ACETONE SELECTIVITY (online calibration)</t>
  </si>
  <si>
    <t xml:space="preserve">ONLINE CALIBRATION </t>
  </si>
  <si>
    <t>ONLINE CALIBRATION</t>
  </si>
  <si>
    <t>acetone selectivity (old manual calibration)</t>
  </si>
  <si>
    <t>size (nm)</t>
  </si>
  <si>
    <t>mmol /g Fe3O4 (-SiO2)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</si>
</sst>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4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35">
    <xf numFmtId="0" fontId="0" fillId="0" borderId="0" xfId="0"/>
    <xf numFmtId="0" fontId="0" fillId="4" borderId="0" xfId="0" applyFill="1"/>
    <xf numFmtId="0" fontId="0" fillId="5" borderId="0" xfId="0" applyFill="1"/>
    <xf numFmtId="0" fontId="4" fillId="6" borderId="0" xfId="0" applyFont="1" applyFill="1"/>
    <xf numFmtId="0" fontId="0" fillId="6" borderId="0" xfId="0" applyFill="1"/>
    <xf numFmtId="0" fontId="4" fillId="7" borderId="0" xfId="0" applyFont="1" applyFill="1"/>
    <xf numFmtId="0" fontId="0" fillId="7" borderId="0" xfId="0" applyFill="1"/>
    <xf numFmtId="0" fontId="0" fillId="8" borderId="0" xfId="0" applyFill="1"/>
    <xf numFmtId="0" fontId="5" fillId="6" borderId="0" xfId="0" applyFont="1" applyFill="1"/>
    <xf numFmtId="0" fontId="6" fillId="6" borderId="0" xfId="0" applyFont="1" applyFill="1"/>
    <xf numFmtId="0" fontId="5" fillId="4" borderId="0" xfId="0" applyFont="1" applyFill="1"/>
    <xf numFmtId="0" fontId="6" fillId="4" borderId="0" xfId="0" applyFont="1" applyFill="1"/>
    <xf numFmtId="0" fontId="5" fillId="9" borderId="0" xfId="0" applyFont="1" applyFill="1"/>
    <xf numFmtId="0" fontId="6" fillId="9" borderId="0" xfId="0" applyFont="1" applyFill="1"/>
    <xf numFmtId="0" fontId="0" fillId="9" borderId="0" xfId="0" applyFill="1"/>
    <xf numFmtId="0" fontId="0" fillId="10" borderId="0" xfId="0" applyFill="1"/>
    <xf numFmtId="0" fontId="6" fillId="10" borderId="0" xfId="2" applyFont="1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4" fillId="0" borderId="0" xfId="0" applyFont="1"/>
    <xf numFmtId="0" fontId="1" fillId="2" borderId="0" xfId="1" applyFont="1"/>
    <xf numFmtId="0" fontId="10" fillId="0" borderId="0" xfId="0" applyFont="1" applyAlignment="1">
      <alignment horizontal="center" readingOrder="1"/>
    </xf>
    <xf numFmtId="11" fontId="0" fillId="0" borderId="0" xfId="0" applyNumberFormat="1"/>
    <xf numFmtId="2" fontId="1" fillId="2" borderId="0" xfId="1" applyNumberFormat="1" applyFont="1"/>
    <xf numFmtId="0" fontId="2" fillId="2" borderId="0" xfId="1"/>
    <xf numFmtId="0" fontId="6" fillId="2" borderId="0" xfId="1" applyFont="1"/>
    <xf numFmtId="0" fontId="0" fillId="17" borderId="0" xfId="0" applyFill="1"/>
    <xf numFmtId="0" fontId="4" fillId="10" borderId="0" xfId="0" applyFont="1" applyFill="1"/>
    <xf numFmtId="0" fontId="4" fillId="12" borderId="0" xfId="0" applyFont="1" applyFill="1"/>
    <xf numFmtId="9" fontId="0" fillId="0" borderId="0" xfId="0" applyNumberFormat="1"/>
    <xf numFmtId="0" fontId="0" fillId="18" borderId="0" xfId="0" applyFill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'conv and rate'!$X$52:$AB$52</c:f>
              <c:numCache>
                <c:formatCode>General</c:formatCode>
                <c:ptCount val="5"/>
                <c:pt idx="0">
                  <c:v>2.5000000000000001E-2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</c:numCache>
            </c:numRef>
          </c:xVal>
          <c:yVal>
            <c:numRef>
              <c:f>'conv and rate'!$X$62:$AB$62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11.999999999999998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5F-4DEF-BEDF-62229A930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52224"/>
        <c:axId val="75764864"/>
      </c:scatterChart>
      <c:valAx>
        <c:axId val="7325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764864"/>
        <c:crosses val="autoZero"/>
        <c:crossBetween val="midCat"/>
      </c:valAx>
      <c:valAx>
        <c:axId val="7576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2522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/m</a:t>
            </a:r>
            <a:r>
              <a:rPr lang="en-GB" sz="1200" b="0" baseline="30000"/>
              <a:t>2</a:t>
            </a:r>
            <a:r>
              <a:rPr lang="en-GB" sz="1200" b="0"/>
              <a:t>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400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22206085858585856"/>
          <c:y val="1.27608333333335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572527777777779"/>
          <c:y val="9.3319166666666745E-2"/>
          <c:w val="0.74309416666666661"/>
          <c:h val="0.73139888888890003"/>
        </c:manualLayout>
      </c:layout>
      <c:scatterChart>
        <c:scatterStyle val="lineMarker"/>
        <c:varyColors val="0"/>
        <c:ser>
          <c:idx val="0"/>
          <c:order val="0"/>
          <c:tx>
            <c:v>Fe3O4/SiO2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rate'!$AV$2:$BB$2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rate'!$AD$10:$AJ$10</c:f>
              <c:numCache>
                <c:formatCode>General</c:formatCode>
                <c:ptCount val="7"/>
                <c:pt idx="0">
                  <c:v>0.16168754178176356</c:v>
                </c:pt>
                <c:pt idx="1">
                  <c:v>0.22498866447417509</c:v>
                </c:pt>
                <c:pt idx="2">
                  <c:v>0.20504487254977913</c:v>
                </c:pt>
                <c:pt idx="3">
                  <c:v>0.27112757348864258</c:v>
                </c:pt>
                <c:pt idx="4">
                  <c:v>0.21787603987175988</c:v>
                </c:pt>
                <c:pt idx="5">
                  <c:v>0.23303504847128995</c:v>
                </c:pt>
                <c:pt idx="6">
                  <c:v>0.13509230099091868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DB-4B25-897F-300448CAC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27136"/>
        <c:axId val="88029440"/>
      </c:scatterChart>
      <c:valAx>
        <c:axId val="88027136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47308080808083"/>
              <c:y val="0.915843055555567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8029440"/>
        <c:crosses val="autoZero"/>
        <c:crossBetween val="midCat"/>
      </c:valAx>
      <c:valAx>
        <c:axId val="88029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Acetic acid conversion rate</a:t>
                </a:r>
              </a:p>
              <a:p>
                <a:pPr>
                  <a:defRPr b="0"/>
                </a:pPr>
                <a:r>
                  <a:rPr lang="en-GB" b="0"/>
                  <a:t>(mmol /min /g /m</a:t>
                </a:r>
                <a:r>
                  <a:rPr lang="en-GB" b="0" baseline="30000"/>
                  <a:t>2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9.5603205576160546E-3"/>
              <c:y val="0.200714444444447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8027136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410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18700611111111287"/>
          <c:y val="1.45247222222222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398810547507594"/>
          <c:y val="9.3319139828551459E-2"/>
          <c:w val="0.75720525348372514"/>
          <c:h val="0.7313988888889000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rate'!$U$2:$AA$2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rate'!$U$11:$AA$11</c:f>
              <c:numCache>
                <c:formatCode>General</c:formatCode>
                <c:ptCount val="7"/>
                <c:pt idx="0">
                  <c:v>41.427328111401216</c:v>
                </c:pt>
                <c:pt idx="1">
                  <c:v>34.74074074074074</c:v>
                </c:pt>
                <c:pt idx="2">
                  <c:v>23.496509871334062</c:v>
                </c:pt>
                <c:pt idx="3">
                  <c:v>23.49712419910254</c:v>
                </c:pt>
                <c:pt idx="4">
                  <c:v>11.032308904649332</c:v>
                </c:pt>
                <c:pt idx="5">
                  <c:v>9.1145833333333304</c:v>
                </c:pt>
                <c:pt idx="6">
                  <c:v>4.7789725209080007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C0-46AA-A699-7FAC9B3E1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069632"/>
        <c:axId val="90583040"/>
      </c:scatterChart>
      <c:valAx>
        <c:axId val="8806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6239750000000032"/>
              <c:y val="0.915843055555561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0583040"/>
        <c:crosses val="autoZero"/>
        <c:crossBetween val="midCat"/>
        <c:majorUnit val="10"/>
      </c:valAx>
      <c:valAx>
        <c:axId val="90583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Acetic acid reaction rate</a:t>
                </a:r>
              </a:p>
              <a:p>
                <a:pPr>
                  <a:defRPr b="0"/>
                </a:pPr>
                <a:r>
                  <a:rPr lang="en-GB" b="0"/>
                  <a:t>(mmol /min /g 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1374999999999988E-3"/>
              <c:y val="0.221293055555555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8069632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3157027777778351"/>
          <c:y val="0.10970888888888899"/>
          <c:w val="0.50754166666666667"/>
          <c:h val="0.17626759259259592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454500000000096"/>
          <c:y val="6.5096944444445151E-2"/>
          <c:w val="0.75897527777778073"/>
          <c:h val="0.75609333333334028"/>
        </c:manualLayout>
      </c:layout>
      <c:scatterChart>
        <c:scatterStyle val="lineMarker"/>
        <c:varyColors val="0"/>
        <c:ser>
          <c:idx val="0"/>
          <c:order val="0"/>
          <c:tx>
            <c:v>6.3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rate'!$C$5:$C$13</c:f>
              <c:numCache>
                <c:formatCode>General</c:formatCode>
                <c:ptCount val="9"/>
                <c:pt idx="0">
                  <c:v>0.78328981723237234</c:v>
                </c:pt>
                <c:pt idx="1">
                  <c:v>5.1348999129677964</c:v>
                </c:pt>
                <c:pt idx="2">
                  <c:v>10.139251523063528</c:v>
                </c:pt>
                <c:pt idx="3">
                  <c:v>19.06005221932114</c:v>
                </c:pt>
                <c:pt idx="4">
                  <c:v>27.545691906005224</c:v>
                </c:pt>
                <c:pt idx="5">
                  <c:v>34.000580214679424</c:v>
                </c:pt>
                <c:pt idx="6">
                  <c:v>47.345517841601392</c:v>
                </c:pt>
                <c:pt idx="7">
                  <c:v>66.05744125326369</c:v>
                </c:pt>
                <c:pt idx="8">
                  <c:v>95.735422106179286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F-497E-A7A9-88F96401D370}"/>
            </c:ext>
          </c:extLst>
        </c:ser>
        <c:ser>
          <c:idx val="2"/>
          <c:order val="2"/>
          <c:tx>
            <c:v>16.6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rate'!$E$5:$E$13</c:f>
              <c:numCache>
                <c:formatCode>General</c:formatCode>
                <c:ptCount val="9"/>
                <c:pt idx="0">
                  <c:v>1.2345679012345794</c:v>
                </c:pt>
                <c:pt idx="1">
                  <c:v>2.7191748710736143</c:v>
                </c:pt>
                <c:pt idx="2">
                  <c:v>4.5944678856071306</c:v>
                </c:pt>
                <c:pt idx="3">
                  <c:v>10.923581809657767</c:v>
                </c:pt>
                <c:pt idx="4">
                  <c:v>21.003281762775433</c:v>
                </c:pt>
                <c:pt idx="5">
                  <c:v>29.442100328176281</c:v>
                </c:pt>
                <c:pt idx="6">
                  <c:v>48.335677449601498</c:v>
                </c:pt>
                <c:pt idx="7">
                  <c:v>71.64205344585092</c:v>
                </c:pt>
                <c:pt idx="8">
                  <c:v>81.293952180028128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F-497E-A7A9-88F96401D370}"/>
            </c:ext>
          </c:extLst>
        </c:ser>
        <c:ser>
          <c:idx val="3"/>
          <c:order val="3"/>
          <c:tx>
            <c:v>18.3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rate'!$F$5:$F$13</c:f>
              <c:numCache>
                <c:formatCode>General</c:formatCode>
                <c:ptCount val="9"/>
                <c:pt idx="0">
                  <c:v>0</c:v>
                </c:pt>
                <c:pt idx="1">
                  <c:v>3.5212626461089562</c:v>
                </c:pt>
                <c:pt idx="2">
                  <c:v>5.3991942734353033</c:v>
                </c:pt>
                <c:pt idx="3">
                  <c:v>18.309974211303938</c:v>
                </c:pt>
                <c:pt idx="4">
                  <c:v>23.943769093282977</c:v>
                </c:pt>
                <c:pt idx="5">
                  <c:v>27.699632347935673</c:v>
                </c:pt>
                <c:pt idx="6">
                  <c:v>37.863937280839515</c:v>
                </c:pt>
                <c:pt idx="7">
                  <c:v>54.272364874603461</c:v>
                </c:pt>
                <c:pt idx="8">
                  <c:v>80.14087304102388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0F-497E-A7A9-88F96401D370}"/>
            </c:ext>
          </c:extLst>
        </c:ser>
        <c:ser>
          <c:idx val="4"/>
          <c:order val="4"/>
          <c:tx>
            <c:v>27.8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rate'!$G$5:$G$13</c:f>
              <c:numCache>
                <c:formatCode>General</c:formatCode>
                <c:ptCount val="9"/>
                <c:pt idx="0">
                  <c:v>0</c:v>
                </c:pt>
                <c:pt idx="1">
                  <c:v>1.7730496453900741</c:v>
                </c:pt>
                <c:pt idx="2">
                  <c:v>3.3096926713947945</c:v>
                </c:pt>
                <c:pt idx="3">
                  <c:v>6.9148936170212743</c:v>
                </c:pt>
                <c:pt idx="4">
                  <c:v>10.401891252955082</c:v>
                </c:pt>
                <c:pt idx="5">
                  <c:v>13.238770685579192</c:v>
                </c:pt>
                <c:pt idx="6">
                  <c:v>16.07565011820331</c:v>
                </c:pt>
                <c:pt idx="7">
                  <c:v>25.768321513002363</c:v>
                </c:pt>
                <c:pt idx="8">
                  <c:v>51.347517730496449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0F-497E-A7A9-88F96401D370}"/>
            </c:ext>
          </c:extLst>
        </c:ser>
        <c:ser>
          <c:idx val="5"/>
          <c:order val="5"/>
          <c:tx>
            <c:v>38.9 nm</c:v>
          </c:tx>
          <c:spPr>
            <a:ln w="28575">
              <a:noFill/>
            </a:ln>
          </c:spPr>
          <c:marker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rate'!$H$5:$H$13</c:f>
              <c:numCache>
                <c:formatCode>General</c:formatCode>
                <c:ptCount val="9"/>
                <c:pt idx="0">
                  <c:v>0</c:v>
                </c:pt>
                <c:pt idx="1">
                  <c:v>1.0416666666666572</c:v>
                </c:pt>
                <c:pt idx="2">
                  <c:v>0.69444444444442865</c:v>
                </c:pt>
                <c:pt idx="3">
                  <c:v>8.5648148148148238</c:v>
                </c:pt>
                <c:pt idx="4">
                  <c:v>10.879629629629633</c:v>
                </c:pt>
                <c:pt idx="5">
                  <c:v>11.111111111111105</c:v>
                </c:pt>
                <c:pt idx="6">
                  <c:v>14.583333333333329</c:v>
                </c:pt>
                <c:pt idx="7">
                  <c:v>27.546296296296291</c:v>
                </c:pt>
                <c:pt idx="8">
                  <c:v>41.562499999999993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0F-497E-A7A9-88F96401D370}"/>
            </c:ext>
          </c:extLst>
        </c:ser>
        <c:ser>
          <c:idx val="6"/>
          <c:order val="6"/>
          <c:tx>
            <c:v>44.7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rate'!$I$5:$I$13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2.0737327188940142</c:v>
                </c:pt>
                <c:pt idx="3">
                  <c:v>3.225806451612911</c:v>
                </c:pt>
                <c:pt idx="4">
                  <c:v>6.2980030721966216</c:v>
                </c:pt>
                <c:pt idx="5">
                  <c:v>6.2980030721966287</c:v>
                </c:pt>
                <c:pt idx="6">
                  <c:v>8.602150537634401</c:v>
                </c:pt>
                <c:pt idx="7">
                  <c:v>18.394777265745009</c:v>
                </c:pt>
                <c:pt idx="8">
                  <c:v>30.337941628264215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60F-497E-A7A9-88F96401D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33728"/>
        <c:axId val="91095040"/>
      </c:scatterChart>
      <c:scatterChart>
        <c:scatterStyle val="lineMarker"/>
        <c:varyColors val="0"/>
        <c:ser>
          <c:idx val="1"/>
          <c:order val="1"/>
          <c:tx>
            <c:v>9.7 nm</c:v>
          </c:tx>
          <c:spPr>
            <a:ln w="28575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rate'!$B$5:$B$13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rate'!$D$5:$D$13</c:f>
              <c:numCache>
                <c:formatCode>General</c:formatCode>
                <c:ptCount val="9"/>
                <c:pt idx="0">
                  <c:v>1.013837511987937</c:v>
                </c:pt>
                <c:pt idx="1">
                  <c:v>2.2222222222222334</c:v>
                </c:pt>
                <c:pt idx="2">
                  <c:v>5.5555555555555616</c:v>
                </c:pt>
                <c:pt idx="3">
                  <c:v>15.11111111111112</c:v>
                </c:pt>
                <c:pt idx="4">
                  <c:v>22.888888888888903</c:v>
                </c:pt>
                <c:pt idx="5">
                  <c:v>31.111111111111114</c:v>
                </c:pt>
                <c:pt idx="6">
                  <c:v>40.200000000000003</c:v>
                </c:pt>
                <c:pt idx="7">
                  <c:v>59.5</c:v>
                </c:pt>
                <c:pt idx="8">
                  <c:v>92.25500000000001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60F-497E-A7A9-88F96401D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98496"/>
        <c:axId val="91096960"/>
      </c:scatterChart>
      <c:valAx>
        <c:axId val="90633728"/>
        <c:scaling>
          <c:orientation val="minMax"/>
          <c:max val="45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Reaction temperature</a:t>
                </a:r>
                <a:r>
                  <a:rPr lang="en-GB" baseline="0"/>
                  <a:t> (</a:t>
                </a:r>
                <a:r>
                  <a:rPr lang="en-GB" baseline="30000"/>
                  <a:t>o</a:t>
                </a:r>
                <a:r>
                  <a:rPr lang="en-GB" baseline="0"/>
                  <a:t>C)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2359194444444744"/>
              <c:y val="0.919370833333340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1095040"/>
        <c:crosses val="autoZero"/>
        <c:crossBetween val="midCat"/>
        <c:majorUnit val="25"/>
      </c:valAx>
      <c:valAx>
        <c:axId val="91095040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Conversion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2376648504152611E-2"/>
              <c:y val="0.27552209398482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0633728"/>
        <c:crosses val="autoZero"/>
        <c:crossBetween val="midCat"/>
      </c:valAx>
      <c:valAx>
        <c:axId val="9109696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91098496"/>
        <c:crosses val="max"/>
        <c:crossBetween val="midCat"/>
      </c:valAx>
      <c:valAx>
        <c:axId val="9109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096960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20108333333333386"/>
          <c:y val="8.5607222222222681E-2"/>
          <c:w val="0.28728138888888888"/>
          <c:h val="0.476007777777779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rate'!$L$30:$L$38</c:f>
              <c:numCache>
                <c:formatCode>General</c:formatCode>
                <c:ptCount val="9"/>
                <c:pt idx="0">
                  <c:v>2.7415143603133029E-2</c:v>
                </c:pt>
                <c:pt idx="1">
                  <c:v>0.17972149695387288</c:v>
                </c:pt>
                <c:pt idx="2">
                  <c:v>0.35487380330722346</c:v>
                </c:pt>
                <c:pt idx="3">
                  <c:v>0.66710182767623982</c:v>
                </c:pt>
                <c:pt idx="4">
                  <c:v>0.96409921671018295</c:v>
                </c:pt>
                <c:pt idx="5">
                  <c:v>1.1900203075137799</c:v>
                </c:pt>
                <c:pt idx="6">
                  <c:v>1.6570931244560487</c:v>
                </c:pt>
                <c:pt idx="7">
                  <c:v>2.3120104438642293</c:v>
                </c:pt>
                <c:pt idx="8">
                  <c:v>3.350739773716275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F-4572-888F-BE9FC12E062C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rate'!$M$30:$M$38</c:f>
              <c:numCache>
                <c:formatCode>General</c:formatCode>
                <c:ptCount val="9"/>
                <c:pt idx="0">
                  <c:v>7.0968625839155586E-2</c:v>
                </c:pt>
                <c:pt idx="1">
                  <c:v>0.15555555555555634</c:v>
                </c:pt>
                <c:pt idx="2">
                  <c:v>0.38888888888888928</c:v>
                </c:pt>
                <c:pt idx="3">
                  <c:v>1.0577777777777784</c:v>
                </c:pt>
                <c:pt idx="4">
                  <c:v>1.6022222222222231</c:v>
                </c:pt>
                <c:pt idx="5">
                  <c:v>2.177777777777778</c:v>
                </c:pt>
                <c:pt idx="6">
                  <c:v>2.8140000000000001</c:v>
                </c:pt>
                <c:pt idx="7">
                  <c:v>4.165</c:v>
                </c:pt>
                <c:pt idx="8">
                  <c:v>6.4578500000000005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2F-4572-888F-BE9FC12E062C}"/>
            </c:ext>
          </c:extLst>
        </c:ser>
        <c:ser>
          <c:idx val="2"/>
          <c:order val="2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rate'!$N$30:$N$38</c:f>
              <c:numCache>
                <c:formatCode>General</c:formatCode>
                <c:ptCount val="9"/>
                <c:pt idx="0">
                  <c:v>8.6419753086420567E-2</c:v>
                </c:pt>
                <c:pt idx="1">
                  <c:v>0.19034224097515298</c:v>
                </c:pt>
                <c:pt idx="2">
                  <c:v>0.32161275199249917</c:v>
                </c:pt>
                <c:pt idx="3">
                  <c:v>0.76465072667604372</c:v>
                </c:pt>
                <c:pt idx="4">
                  <c:v>1.4702297233942803</c:v>
                </c:pt>
                <c:pt idx="5">
                  <c:v>2.0609470229723397</c:v>
                </c:pt>
                <c:pt idx="6">
                  <c:v>3.383497421472105</c:v>
                </c:pt>
                <c:pt idx="7">
                  <c:v>5.0149437412095645</c:v>
                </c:pt>
                <c:pt idx="8">
                  <c:v>5.690576652601969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2F-4572-888F-BE9FC12E062C}"/>
            </c:ext>
          </c:extLst>
        </c:ser>
        <c:ser>
          <c:idx val="3"/>
          <c:order val="3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rate'!$O$30:$O$38</c:f>
              <c:numCache>
                <c:formatCode>General</c:formatCode>
                <c:ptCount val="9"/>
                <c:pt idx="0">
                  <c:v>0</c:v>
                </c:pt>
                <c:pt idx="1">
                  <c:v>0.53584431571223246</c:v>
                </c:pt>
                <c:pt idx="2">
                  <c:v>0.82161651987058959</c:v>
                </c:pt>
                <c:pt idx="3">
                  <c:v>2.786300423459295</c:v>
                </c:pt>
                <c:pt idx="4">
                  <c:v>3.643617035934366</c:v>
                </c:pt>
                <c:pt idx="5">
                  <c:v>4.2151614442510805</c:v>
                </c:pt>
                <c:pt idx="6">
                  <c:v>5.761903499258187</c:v>
                </c:pt>
                <c:pt idx="7">
                  <c:v>8.2588381330918299</c:v>
                </c:pt>
                <c:pt idx="8">
                  <c:v>12.195350245373199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2F-4572-888F-BE9FC12E062C}"/>
            </c:ext>
          </c:extLst>
        </c:ser>
        <c:ser>
          <c:idx val="4"/>
          <c:order val="4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rate'!$P$30:$P$38</c:f>
              <c:numCache>
                <c:formatCode>General</c:formatCode>
                <c:ptCount val="9"/>
                <c:pt idx="0">
                  <c:v>0</c:v>
                </c:pt>
                <c:pt idx="1">
                  <c:v>0.4137115839243507</c:v>
                </c:pt>
                <c:pt idx="2">
                  <c:v>0.77226162332545212</c:v>
                </c:pt>
                <c:pt idx="3">
                  <c:v>1.613475177304964</c:v>
                </c:pt>
                <c:pt idx="4">
                  <c:v>2.4271079590228526</c:v>
                </c:pt>
                <c:pt idx="5">
                  <c:v>3.089046493301812</c:v>
                </c:pt>
                <c:pt idx="6">
                  <c:v>3.7509850275807728</c:v>
                </c:pt>
                <c:pt idx="7">
                  <c:v>6.012608353033885</c:v>
                </c:pt>
                <c:pt idx="8">
                  <c:v>11.981087470449172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32F-4572-888F-BE9FC12E062C}"/>
            </c:ext>
          </c:extLst>
        </c:ser>
        <c:ser>
          <c:idx val="5"/>
          <c:order val="5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rate'!$Q$30:$Q$38</c:f>
              <c:numCache>
                <c:formatCode>General</c:formatCode>
                <c:ptCount val="9"/>
                <c:pt idx="0">
                  <c:v>0</c:v>
                </c:pt>
                <c:pt idx="1">
                  <c:v>0.36458333333332998</c:v>
                </c:pt>
                <c:pt idx="2">
                  <c:v>0.24305555555555</c:v>
                </c:pt>
                <c:pt idx="3">
                  <c:v>2.9976851851851882</c:v>
                </c:pt>
                <c:pt idx="4">
                  <c:v>3.807870370370372</c:v>
                </c:pt>
                <c:pt idx="5">
                  <c:v>3.8888888888888866</c:v>
                </c:pt>
                <c:pt idx="6">
                  <c:v>5.1041666666666652</c:v>
                </c:pt>
                <c:pt idx="7">
                  <c:v>9.6412037037037024</c:v>
                </c:pt>
                <c:pt idx="8">
                  <c:v>14.546874999999996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32F-4572-888F-BE9FC12E062C}"/>
            </c:ext>
          </c:extLst>
        </c:ser>
        <c:ser>
          <c:idx val="6"/>
          <c:order val="6"/>
          <c:spPr>
            <a:ln w="28575">
              <a:noFill/>
            </a:ln>
          </c:spPr>
          <c:xVal>
            <c:numRef>
              <c:f>'conv and rate'!$K$30:$K$38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rate'!$R$30:$R$38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0.72580645161290491</c:v>
                </c:pt>
                <c:pt idx="3">
                  <c:v>1.1290322580645187</c:v>
                </c:pt>
                <c:pt idx="4">
                  <c:v>2.2043010752688175</c:v>
                </c:pt>
                <c:pt idx="5">
                  <c:v>2.2043010752688197</c:v>
                </c:pt>
                <c:pt idx="6">
                  <c:v>3.0107526881720403</c:v>
                </c:pt>
                <c:pt idx="7">
                  <c:v>6.438172043010753</c:v>
                </c:pt>
                <c:pt idx="8">
                  <c:v>10.618279569892474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32F-4572-888F-BE9FC12E0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38688"/>
        <c:axId val="91361664"/>
      </c:scatterChart>
      <c:valAx>
        <c:axId val="91138688"/>
        <c:scaling>
          <c:orientation val="minMax"/>
          <c:max val="450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91361664"/>
        <c:crosses val="autoZero"/>
        <c:crossBetween val="midCat"/>
      </c:valAx>
      <c:valAx>
        <c:axId val="9136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386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'conv and rate'!$L$27:$R$27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rate'!$L$35:$R$35</c:f>
              <c:numCache>
                <c:formatCode>General</c:formatCode>
                <c:ptCount val="7"/>
                <c:pt idx="0">
                  <c:v>1.1900203075137799</c:v>
                </c:pt>
                <c:pt idx="1">
                  <c:v>2.177777777777778</c:v>
                </c:pt>
                <c:pt idx="2">
                  <c:v>2.0609470229723397</c:v>
                </c:pt>
                <c:pt idx="3">
                  <c:v>4.2151614442510805</c:v>
                </c:pt>
                <c:pt idx="4">
                  <c:v>3.089046493301812</c:v>
                </c:pt>
                <c:pt idx="5">
                  <c:v>3.8888888888888866</c:v>
                </c:pt>
                <c:pt idx="6">
                  <c:v>2.2043010752688197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CC-4492-A6D0-A411C12A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51360"/>
        <c:axId val="91378432"/>
      </c:scatterChart>
      <c:valAx>
        <c:axId val="9115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378432"/>
        <c:crosses val="autoZero"/>
        <c:crossBetween val="midCat"/>
      </c:valAx>
      <c:valAx>
        <c:axId val="91378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151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425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18700611111111287"/>
          <c:y val="1.45247222222222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398810547507594"/>
          <c:y val="9.3319139828551459E-2"/>
          <c:w val="0.75720525348372514"/>
          <c:h val="0.7313988888889000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rate'!$U$2:$AA$2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rate'!$U$12:$AA$12</c:f>
              <c:numCache>
                <c:formatCode>General</c:formatCode>
                <c:ptCount val="7"/>
                <c:pt idx="0">
                  <c:v>57.80026109660573</c:v>
                </c:pt>
                <c:pt idx="1">
                  <c:v>51.419753086419753</c:v>
                </c:pt>
                <c:pt idx="2">
                  <c:v>34.825998202844204</c:v>
                </c:pt>
                <c:pt idx="3">
                  <c:v>33.679659053388676</c:v>
                </c:pt>
                <c:pt idx="4">
                  <c:v>17.684142214805544</c:v>
                </c:pt>
                <c:pt idx="5">
                  <c:v>17.216435185185183</c:v>
                </c:pt>
                <c:pt idx="6">
                  <c:v>10.219320703191672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A8-4E0B-90CA-4C8EB6923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27584"/>
        <c:axId val="91429888"/>
      </c:scatterChart>
      <c:valAx>
        <c:axId val="9142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6239750000000032"/>
              <c:y val="0.915843055555561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429888"/>
        <c:crosses val="autoZero"/>
        <c:crossBetween val="midCat"/>
        <c:majorUnit val="10"/>
      </c:valAx>
      <c:valAx>
        <c:axId val="91429888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Acetic acid reaction rate</a:t>
                </a:r>
              </a:p>
              <a:p>
                <a:pPr>
                  <a:defRPr b="0"/>
                </a:pPr>
                <a:r>
                  <a:rPr lang="en-GB" b="0"/>
                  <a:t>(mmol /min /g 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1374999999999988E-3"/>
              <c:y val="0.221293055555555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427584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390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18700611111111295"/>
          <c:y val="1.45247222222222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219749999999999"/>
          <c:y val="9.3319166666666745E-2"/>
          <c:w val="0.75720525348372569"/>
          <c:h val="0.7313988888889000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rate'!$U$2:$AA$2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rate'!$U$9:$AA$9</c:f>
              <c:numCache>
                <c:formatCode>General</c:formatCode>
                <c:ptCount val="7"/>
                <c:pt idx="0">
                  <c:v>24.102480417754574</c:v>
                </c:pt>
                <c:pt idx="1">
                  <c:v>19.780521262002754</c:v>
                </c:pt>
                <c:pt idx="2">
                  <c:v>10.209928634682502</c:v>
                </c:pt>
                <c:pt idx="3">
                  <c:v>14.858721955051493</c:v>
                </c:pt>
                <c:pt idx="4">
                  <c:v>7.1385528206554492</c:v>
                </c:pt>
                <c:pt idx="5">
                  <c:v>6.7997685185185217</c:v>
                </c:pt>
                <c:pt idx="6">
                  <c:v>3.4988905956647898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C9-4FB0-AD21-9582C810E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53696"/>
        <c:axId val="91460352"/>
      </c:scatterChart>
      <c:valAx>
        <c:axId val="9145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6239750000000032"/>
              <c:y val="0.915843055555561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460352"/>
        <c:crosses val="autoZero"/>
        <c:crossBetween val="midCat"/>
        <c:majorUnit val="10"/>
      </c:valAx>
      <c:valAx>
        <c:axId val="91460352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Acetic acid reaction rate</a:t>
                </a:r>
              </a:p>
              <a:p>
                <a:pPr>
                  <a:defRPr b="0"/>
                </a:pPr>
                <a:r>
                  <a:rPr lang="en-GB" b="0"/>
                  <a:t>(mmol /min /g 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1374999999999988E-3"/>
              <c:y val="0.221293055555555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453696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375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18700611111111301"/>
          <c:y val="1.45247222222222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219749999999999"/>
          <c:y val="9.3319166666666745E-2"/>
          <c:w val="0.75720525348372614"/>
          <c:h val="0.7313988888889000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rate'!$U$2:$AA$2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rate'!$U$8:$AA$8</c:f>
              <c:numCache>
                <c:formatCode>General</c:formatCode>
                <c:ptCount val="7"/>
                <c:pt idx="0">
                  <c:v>16.677545691905994</c:v>
                </c:pt>
                <c:pt idx="1">
                  <c:v>13.05898491083677</c:v>
                </c:pt>
                <c:pt idx="2">
                  <c:v>5.3100744908058592</c:v>
                </c:pt>
                <c:pt idx="3">
                  <c:v>11.362572648858828</c:v>
                </c:pt>
                <c:pt idx="4">
                  <c:v>4.7455152273675418</c:v>
                </c:pt>
                <c:pt idx="5">
                  <c:v>5.3530092592592649</c:v>
                </c:pt>
                <c:pt idx="6">
                  <c:v>1.7921146953405058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4E-4B90-9EC2-03CD36065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00928"/>
        <c:axId val="91503232"/>
      </c:scatterChart>
      <c:valAx>
        <c:axId val="9150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6239750000000032"/>
              <c:y val="0.915843055555561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503232"/>
        <c:crosses val="autoZero"/>
        <c:crossBetween val="midCat"/>
        <c:majorUnit val="10"/>
      </c:valAx>
      <c:valAx>
        <c:axId val="91503232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Acetic acid reaction rate</a:t>
                </a:r>
              </a:p>
              <a:p>
                <a:pPr>
                  <a:defRPr b="0"/>
                </a:pPr>
                <a:r>
                  <a:rPr lang="en-GB" b="0"/>
                  <a:t>(mmol /min /g 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1374999999999988E-3"/>
              <c:y val="0.221293055555555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50092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400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26276602564102564"/>
          <c:y val="2.74599537037041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138833333333341"/>
          <c:y val="9.3318888888888896E-2"/>
          <c:w val="0.73506138888888883"/>
          <c:h val="0.73139888888890003"/>
        </c:manualLayout>
      </c:layout>
      <c:scatterChart>
        <c:scatterStyle val="lineMarker"/>
        <c:varyColors val="0"/>
        <c:ser>
          <c:idx val="2"/>
          <c:order val="0"/>
          <c:tx>
            <c:v>Fe3O4 heated in N2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rate'!#REF!</c:f>
            </c:numRef>
          </c:xVal>
          <c:yVal>
            <c:numRef>
              <c:f>'conv and rate'!$BY$10:$CB$10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E3-44CF-883A-D8AA3A260F43}"/>
            </c:ext>
          </c:extLst>
        </c:ser>
        <c:ser>
          <c:idx val="1"/>
          <c:order val="1"/>
          <c:tx>
            <c:v>Fe2O3 calcined and reduced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rate'!#REF!</c:f>
            </c:numRef>
          </c:xVal>
          <c:yVal>
            <c:numRef>
              <c:f>'conv and rate'!$CC$10:$CE$10</c:f>
              <c:numCache>
                <c:formatCode>General</c:formatCode>
                <c:ptCount val="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E3-44CF-883A-D8AA3A260F43}"/>
            </c:ext>
          </c:extLst>
        </c:ser>
        <c:ser>
          <c:idx val="0"/>
          <c:order val="2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rate'!$BE$2:$BK$2</c:f>
              <c:numCache>
                <c:formatCode>General</c:formatCode>
                <c:ptCount val="7"/>
                <c:pt idx="0">
                  <c:v>6.3</c:v>
                </c:pt>
                <c:pt idx="1">
                  <c:v>9</c:v>
                </c:pt>
                <c:pt idx="2">
                  <c:v>16.600000000000001</c:v>
                </c:pt>
                <c:pt idx="3">
                  <c:v>18.100000000000001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rate'!$BN$10:$BT$10</c:f>
              <c:numCache>
                <c:formatCode>General</c:formatCode>
                <c:ptCount val="7"/>
                <c:pt idx="0">
                  <c:v>5.47431238532552E-2</c:v>
                </c:pt>
                <c:pt idx="1">
                  <c:v>7.4187770463968405E-2</c:v>
                </c:pt>
                <c:pt idx="2">
                  <c:v>0.10942781775212261</c:v>
                </c:pt>
                <c:pt idx="3">
                  <c:v>8.8444252224300746E-2</c:v>
                </c:pt>
                <c:pt idx="4">
                  <c:v>6.7101003293225991E-2</c:v>
                </c:pt>
                <c:pt idx="5">
                  <c:v>6.1513643488715394E-2</c:v>
                </c:pt>
                <c:pt idx="6">
                  <c:v>7.5996703696170592E-2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E3-44CF-883A-D8AA3A260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24480"/>
        <c:axId val="91547520"/>
      </c:scatterChart>
      <c:valAx>
        <c:axId val="91524480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47308080808083"/>
              <c:y val="0.915843055555567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1547520"/>
        <c:crosses val="autoZero"/>
        <c:crossBetween val="midCat"/>
        <c:majorUnit val="10"/>
      </c:valAx>
      <c:valAx>
        <c:axId val="91547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 production rate</a:t>
                </a:r>
              </a:p>
              <a:p>
                <a:pPr>
                  <a:defRPr b="0"/>
                </a:pPr>
                <a:r>
                  <a:rPr lang="en-GB" b="0"/>
                  <a:t>(mmol /min /g)</a:t>
                </a:r>
              </a:p>
            </c:rich>
          </c:tx>
          <c:layout>
            <c:manualLayout>
              <c:xMode val="edge"/>
              <c:yMode val="edge"/>
              <c:x val="1.1374999999999988E-3"/>
              <c:y val="0.1995383333333345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1524480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Manual</a:t>
            </a:r>
            <a:r>
              <a:rPr lang="en-GB" baseline="0"/>
              <a:t> </a:t>
            </a:r>
            <a:r>
              <a:rPr lang="en-GB" sz="1600" baseline="0"/>
              <a:t>calibration</a:t>
            </a:r>
            <a:endParaRPr lang="en-GB" sz="1600"/>
          </a:p>
        </c:rich>
      </c:tx>
      <c:layout>
        <c:manualLayout>
          <c:xMode val="edge"/>
          <c:yMode val="edge"/>
          <c:x val="0.25939226687622985"/>
          <c:y val="3.527832111825705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5349495615843"/>
          <c:y val="9.6279444444444445E-2"/>
          <c:w val="0.79260767983287983"/>
          <c:h val="0.76070472222222263"/>
        </c:manualLayout>
      </c:layout>
      <c:scatterChart>
        <c:scatterStyle val="lineMarker"/>
        <c:varyColors val="0"/>
        <c:ser>
          <c:idx val="0"/>
          <c:order val="0"/>
          <c:tx>
            <c:v>6.3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rate'!$C$5:$C$13</c:f>
              <c:numCache>
                <c:formatCode>General</c:formatCode>
                <c:ptCount val="9"/>
                <c:pt idx="0">
                  <c:v>0.78328981723237234</c:v>
                </c:pt>
                <c:pt idx="1">
                  <c:v>5.1348999129677964</c:v>
                </c:pt>
                <c:pt idx="2">
                  <c:v>10.139251523063528</c:v>
                </c:pt>
                <c:pt idx="3">
                  <c:v>19.06005221932114</c:v>
                </c:pt>
                <c:pt idx="4">
                  <c:v>27.545691906005224</c:v>
                </c:pt>
                <c:pt idx="5">
                  <c:v>34.000580214679424</c:v>
                </c:pt>
                <c:pt idx="6">
                  <c:v>47.345517841601392</c:v>
                </c:pt>
                <c:pt idx="7">
                  <c:v>66.05744125326369</c:v>
                </c:pt>
                <c:pt idx="8">
                  <c:v>95.735422106179286</c:v>
                </c:pt>
              </c:numCache>
            </c:numRef>
          </c:xVal>
          <c:yVal>
            <c:numRef>
              <c:f>'conv and rate'!$AM$5:$AM$13</c:f>
              <c:numCache>
                <c:formatCode>General</c:formatCode>
                <c:ptCount val="9"/>
                <c:pt idx="1">
                  <c:v>21.779730197163623</c:v>
                </c:pt>
                <c:pt idx="2">
                  <c:v>26.612395308070226</c:v>
                </c:pt>
                <c:pt idx="3">
                  <c:v>30.000687027848084</c:v>
                </c:pt>
                <c:pt idx="4">
                  <c:v>31.748732286873761</c:v>
                </c:pt>
                <c:pt idx="5">
                  <c:v>33.857354283451407</c:v>
                </c:pt>
                <c:pt idx="6">
                  <c:v>30.268172023606024</c:v>
                </c:pt>
                <c:pt idx="7">
                  <c:v>24.310744247610113</c:v>
                </c:pt>
                <c:pt idx="8">
                  <c:v>47.921187384044522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BC-44ED-A311-A15F32EE620A}"/>
            </c:ext>
          </c:extLst>
        </c:ser>
        <c:ser>
          <c:idx val="1"/>
          <c:order val="1"/>
          <c:tx>
            <c:v>9.7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rate'!$D$5:$D$13</c:f>
              <c:numCache>
                <c:formatCode>General</c:formatCode>
                <c:ptCount val="9"/>
                <c:pt idx="0">
                  <c:v>1.013837511987937</c:v>
                </c:pt>
                <c:pt idx="1">
                  <c:v>2.2222222222222334</c:v>
                </c:pt>
                <c:pt idx="2">
                  <c:v>5.5555555555555616</c:v>
                </c:pt>
                <c:pt idx="3">
                  <c:v>15.11111111111112</c:v>
                </c:pt>
                <c:pt idx="4">
                  <c:v>22.888888888888903</c:v>
                </c:pt>
                <c:pt idx="5">
                  <c:v>31.111111111111114</c:v>
                </c:pt>
                <c:pt idx="6">
                  <c:v>40.200000000000003</c:v>
                </c:pt>
                <c:pt idx="7">
                  <c:v>59.5</c:v>
                </c:pt>
                <c:pt idx="8">
                  <c:v>92.25500000000001</c:v>
                </c:pt>
              </c:numCache>
            </c:numRef>
          </c:xVal>
          <c:yVal>
            <c:numRef>
              <c:f>'conv and rate'!$AN$5:$AN$13</c:f>
              <c:numCache>
                <c:formatCode>General</c:formatCode>
                <c:ptCount val="9"/>
                <c:pt idx="1">
                  <c:v>38.775510204081378</c:v>
                </c:pt>
                <c:pt idx="2">
                  <c:v>38.21480107194386</c:v>
                </c:pt>
                <c:pt idx="3">
                  <c:v>31.725417439703136</c:v>
                </c:pt>
                <c:pt idx="4">
                  <c:v>34.146115589092766</c:v>
                </c:pt>
                <c:pt idx="5">
                  <c:v>32.974003662519586</c:v>
                </c:pt>
                <c:pt idx="6">
                  <c:v>33.312893604345966</c:v>
                </c:pt>
                <c:pt idx="7">
                  <c:v>31.98021194394406</c:v>
                </c:pt>
                <c:pt idx="8">
                  <c:v>49.499037300939676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BC-44ED-A311-A15F32EE620A}"/>
            </c:ext>
          </c:extLst>
        </c:ser>
        <c:ser>
          <c:idx val="2"/>
          <c:order val="2"/>
          <c:tx>
            <c:v>16.6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rate'!$E$5:$E$13</c:f>
              <c:numCache>
                <c:formatCode>General</c:formatCode>
                <c:ptCount val="9"/>
                <c:pt idx="0">
                  <c:v>1.2345679012345794</c:v>
                </c:pt>
                <c:pt idx="1">
                  <c:v>2.7191748710736143</c:v>
                </c:pt>
                <c:pt idx="2">
                  <c:v>4.5944678856071306</c:v>
                </c:pt>
                <c:pt idx="3">
                  <c:v>10.923581809657767</c:v>
                </c:pt>
                <c:pt idx="4">
                  <c:v>21.003281762775433</c:v>
                </c:pt>
                <c:pt idx="5">
                  <c:v>29.442100328176281</c:v>
                </c:pt>
                <c:pt idx="6">
                  <c:v>48.335677449601498</c:v>
                </c:pt>
                <c:pt idx="7">
                  <c:v>71.64205344585092</c:v>
                </c:pt>
                <c:pt idx="8">
                  <c:v>81.293952180028128</c:v>
                </c:pt>
              </c:numCache>
            </c:numRef>
          </c:xVal>
          <c:yVal>
            <c:numRef>
              <c:f>'conv and rate'!$AO$5:$AO$13</c:f>
              <c:numCache>
                <c:formatCode>General</c:formatCode>
                <c:ptCount val="9"/>
                <c:pt idx="1">
                  <c:v>22.441518838304489</c:v>
                </c:pt>
                <c:pt idx="2">
                  <c:v>39.877501244400172</c:v>
                </c:pt>
                <c:pt idx="3">
                  <c:v>60.977339167278778</c:v>
                </c:pt>
                <c:pt idx="4">
                  <c:v>53.696759209479374</c:v>
                </c:pt>
                <c:pt idx="5">
                  <c:v>53.367741602783383</c:v>
                </c:pt>
                <c:pt idx="6">
                  <c:v>40.829620902706893</c:v>
                </c:pt>
                <c:pt idx="7">
                  <c:v>33.662526843580402</c:v>
                </c:pt>
                <c:pt idx="8">
                  <c:v>46.439703997438983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BC-44ED-A311-A15F32EE620A}"/>
            </c:ext>
          </c:extLst>
        </c:ser>
        <c:ser>
          <c:idx val="3"/>
          <c:order val="3"/>
          <c:tx>
            <c:v>18.3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rate'!$F$5:$F$13</c:f>
              <c:numCache>
                <c:formatCode>General</c:formatCode>
                <c:ptCount val="9"/>
                <c:pt idx="0">
                  <c:v>0</c:v>
                </c:pt>
                <c:pt idx="1">
                  <c:v>3.5212626461089562</c:v>
                </c:pt>
                <c:pt idx="2">
                  <c:v>5.3991942734353033</c:v>
                </c:pt>
                <c:pt idx="3">
                  <c:v>18.309974211303938</c:v>
                </c:pt>
                <c:pt idx="4">
                  <c:v>23.943769093282977</c:v>
                </c:pt>
                <c:pt idx="5">
                  <c:v>27.699632347935673</c:v>
                </c:pt>
                <c:pt idx="6">
                  <c:v>37.863937280839515</c:v>
                </c:pt>
                <c:pt idx="7">
                  <c:v>54.272364874603461</c:v>
                </c:pt>
                <c:pt idx="8">
                  <c:v>80.14087304102388</c:v>
                </c:pt>
              </c:numCache>
            </c:numRef>
          </c:xVal>
          <c:yVal>
            <c:numRef>
              <c:f>'conv and rate'!$AP$5:$AP$13</c:f>
              <c:numCache>
                <c:formatCode>General</c:formatCode>
                <c:ptCount val="9"/>
                <c:pt idx="1">
                  <c:v>8.4841391317256925</c:v>
                </c:pt>
                <c:pt idx="2">
                  <c:v>25.472304970378048</c:v>
                </c:pt>
                <c:pt idx="3">
                  <c:v>23.049776665768178</c:v>
                </c:pt>
                <c:pt idx="4">
                  <c:v>28.406131569288679</c:v>
                </c:pt>
                <c:pt idx="5">
                  <c:v>32.620899116336332</c:v>
                </c:pt>
                <c:pt idx="6">
                  <c:v>30.28920965934411</c:v>
                </c:pt>
                <c:pt idx="7">
                  <c:v>29.333306486932511</c:v>
                </c:pt>
                <c:pt idx="8">
                  <c:v>50.999298978883608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BC-44ED-A311-A15F32EE620A}"/>
            </c:ext>
          </c:extLst>
        </c:ser>
        <c:ser>
          <c:idx val="4"/>
          <c:order val="4"/>
          <c:tx>
            <c:v>27.8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rate'!$G$5:$G$13</c:f>
              <c:numCache>
                <c:formatCode>General</c:formatCode>
                <c:ptCount val="9"/>
                <c:pt idx="0">
                  <c:v>0</c:v>
                </c:pt>
                <c:pt idx="1">
                  <c:v>1.7730496453900741</c:v>
                </c:pt>
                <c:pt idx="2">
                  <c:v>3.3096926713947945</c:v>
                </c:pt>
                <c:pt idx="3">
                  <c:v>6.9148936170212743</c:v>
                </c:pt>
                <c:pt idx="4">
                  <c:v>10.401891252955082</c:v>
                </c:pt>
                <c:pt idx="5">
                  <c:v>13.238770685579192</c:v>
                </c:pt>
                <c:pt idx="6">
                  <c:v>16.07565011820331</c:v>
                </c:pt>
                <c:pt idx="7">
                  <c:v>25.768321513002363</c:v>
                </c:pt>
                <c:pt idx="8">
                  <c:v>51.347517730496449</c:v>
                </c:pt>
              </c:numCache>
            </c:numRef>
          </c:xVal>
          <c:yVal>
            <c:numRef>
              <c:f>'conv and rate'!$AQ$5:$AQ$13</c:f>
              <c:numCache>
                <c:formatCode>General</c:formatCode>
                <c:ptCount val="9"/>
                <c:pt idx="1">
                  <c:v>6.2826530612244618</c:v>
                </c:pt>
                <c:pt idx="2">
                  <c:v>14.771428571428592</c:v>
                </c:pt>
                <c:pt idx="3">
                  <c:v>32.484353741496605</c:v>
                </c:pt>
                <c:pt idx="4">
                  <c:v>30.947376093294466</c:v>
                </c:pt>
                <c:pt idx="5">
                  <c:v>30.797789115646271</c:v>
                </c:pt>
                <c:pt idx="6">
                  <c:v>34.872890992145649</c:v>
                </c:pt>
                <c:pt idx="7">
                  <c:v>35.779394063389766</c:v>
                </c:pt>
                <c:pt idx="8">
                  <c:v>32.187549924646532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BC-44ED-A311-A15F32EE620A}"/>
            </c:ext>
          </c:extLst>
        </c:ser>
        <c:ser>
          <c:idx val="5"/>
          <c:order val="5"/>
          <c:tx>
            <c:v>38.9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rate'!$H$5:$H$13</c:f>
              <c:numCache>
                <c:formatCode>General</c:formatCode>
                <c:ptCount val="9"/>
                <c:pt idx="0">
                  <c:v>0</c:v>
                </c:pt>
                <c:pt idx="1">
                  <c:v>1.0416666666666572</c:v>
                </c:pt>
                <c:pt idx="2">
                  <c:v>0.69444444444442865</c:v>
                </c:pt>
                <c:pt idx="3">
                  <c:v>8.5648148148148238</c:v>
                </c:pt>
                <c:pt idx="4">
                  <c:v>10.879629629629633</c:v>
                </c:pt>
                <c:pt idx="5">
                  <c:v>11.111111111111105</c:v>
                </c:pt>
                <c:pt idx="6">
                  <c:v>14.583333333333329</c:v>
                </c:pt>
                <c:pt idx="7">
                  <c:v>27.546296296296291</c:v>
                </c:pt>
                <c:pt idx="8">
                  <c:v>41.562499999999993</c:v>
                </c:pt>
              </c:numCache>
            </c:numRef>
          </c:xVal>
          <c:yVal>
            <c:numRef>
              <c:f>'conv and rate'!$AR$5:$AR$13</c:f>
              <c:numCache>
                <c:formatCode>General</c:formatCode>
                <c:ptCount val="9"/>
                <c:pt idx="1">
                  <c:v>8.8163265306124092</c:v>
                </c:pt>
                <c:pt idx="2">
                  <c:v>32.740136054422294</c:v>
                </c:pt>
                <c:pt idx="3">
                  <c:v>22.9375196232339</c:v>
                </c:pt>
                <c:pt idx="4">
                  <c:v>23.81161695447409</c:v>
                </c:pt>
                <c:pt idx="5">
                  <c:v>26.396734693877566</c:v>
                </c:pt>
                <c:pt idx="6">
                  <c:v>26.220531721460528</c:v>
                </c:pt>
                <c:pt idx="7">
                  <c:v>20.291616954474101</c:v>
                </c:pt>
                <c:pt idx="8">
                  <c:v>31.248918361947066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BC-44ED-A311-A15F32EE620A}"/>
            </c:ext>
          </c:extLst>
        </c:ser>
        <c:ser>
          <c:idx val="6"/>
          <c:order val="6"/>
          <c:tx>
            <c:v>44.7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rate'!$I$5:$I$13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2.0737327188940142</c:v>
                </c:pt>
                <c:pt idx="3">
                  <c:v>3.225806451612911</c:v>
                </c:pt>
                <c:pt idx="4">
                  <c:v>6.2980030721966216</c:v>
                </c:pt>
                <c:pt idx="5">
                  <c:v>6.2980030721966287</c:v>
                </c:pt>
                <c:pt idx="6">
                  <c:v>8.602150537634401</c:v>
                </c:pt>
                <c:pt idx="7">
                  <c:v>18.394777265745009</c:v>
                </c:pt>
                <c:pt idx="8">
                  <c:v>30.337941628264215</c:v>
                </c:pt>
              </c:numCache>
            </c:numRef>
          </c:xVal>
          <c:yVal>
            <c:numRef>
              <c:f>'conv and rate'!$AS$5:$AS$13</c:f>
              <c:numCache>
                <c:formatCode>General</c:formatCode>
                <c:ptCount val="9"/>
                <c:pt idx="2">
                  <c:v>40.504489795918268</c:v>
                </c:pt>
                <c:pt idx="3">
                  <c:v>44.023742454728314</c:v>
                </c:pt>
                <c:pt idx="4">
                  <c:v>51.997882949873144</c:v>
                </c:pt>
                <c:pt idx="5">
                  <c:v>56.255392156862683</c:v>
                </c:pt>
                <c:pt idx="6">
                  <c:v>67.472448979591903</c:v>
                </c:pt>
                <c:pt idx="7">
                  <c:v>42.611244037845019</c:v>
                </c:pt>
                <c:pt idx="8">
                  <c:v>49.293895802366002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BC-44ED-A311-A15F32EE6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92576"/>
        <c:axId val="91632000"/>
      </c:scatterChart>
      <c:valAx>
        <c:axId val="91592576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Conversion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91632000"/>
        <c:crosses val="autoZero"/>
        <c:crossBetween val="midCat"/>
      </c:valAx>
      <c:valAx>
        <c:axId val="9163200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Acetone</a:t>
                </a:r>
                <a:r>
                  <a:rPr lang="en-GB" baseline="0"/>
                  <a:t> selectivity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9159257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14583333333346"/>
          <c:y val="0.10939166666666666"/>
          <c:w val="0.23076388888888891"/>
          <c:h val="0.3087891666666671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2"/>
          <c:spPr>
            <a:ln w="28575">
              <a:noFill/>
            </a:ln>
          </c:spPr>
          <c:xVal>
            <c:numRef>
              <c:f>'conv and rate'!$X$52:$AB$52</c:f>
              <c:numCache>
                <c:formatCode>General</c:formatCode>
                <c:ptCount val="5"/>
                <c:pt idx="0">
                  <c:v>2.5000000000000001E-2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</c:numCache>
            </c:numRef>
          </c:xVal>
          <c:yVal>
            <c:numRef>
              <c:f>'conv and rate'!$X$69:$AB$69</c:f>
              <c:numCache>
                <c:formatCode>General</c:formatCode>
                <c:ptCount val="5"/>
                <c:pt idx="0">
                  <c:v>1</c:v>
                </c:pt>
                <c:pt idx="1">
                  <c:v>3.6859821215347157</c:v>
                </c:pt>
                <c:pt idx="2">
                  <c:v>4.8446022037995693</c:v>
                </c:pt>
                <c:pt idx="3">
                  <c:v>5.5521660366052759</c:v>
                </c:pt>
                <c:pt idx="4">
                  <c:v>10.054380701979378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31-421F-8E0C-336F402D2675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'conv and rate'!$X$52:$AB$52</c:f>
              <c:numCache>
                <c:formatCode>General</c:formatCode>
                <c:ptCount val="5"/>
                <c:pt idx="0">
                  <c:v>2.5000000000000001E-2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</c:numCache>
            </c:numRef>
          </c:xVal>
          <c:yVal>
            <c:numRef>
              <c:f>'conv and rate'!$X$68:$AB$68</c:f>
              <c:numCache>
                <c:formatCode>General</c:formatCode>
                <c:ptCount val="5"/>
                <c:pt idx="0">
                  <c:v>1</c:v>
                </c:pt>
                <c:pt idx="1">
                  <c:v>2.5343588414274949</c:v>
                </c:pt>
                <c:pt idx="2">
                  <c:v>3.8091164641393669</c:v>
                </c:pt>
                <c:pt idx="3">
                  <c:v>6.310365568304797</c:v>
                </c:pt>
                <c:pt idx="4">
                  <c:v>8.6639044041647271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31-421F-8E0C-336F402D2675}"/>
            </c:ext>
          </c:extLst>
        </c:ser>
        <c:ser>
          <c:idx val="0"/>
          <c:order val="0"/>
          <c:spPr>
            <a:ln w="28575">
              <a:noFill/>
            </a:ln>
          </c:spPr>
          <c:xVal>
            <c:numRef>
              <c:f>'conv and rate'!$X$52:$AB$52</c:f>
              <c:numCache>
                <c:formatCode>General</c:formatCode>
                <c:ptCount val="5"/>
                <c:pt idx="0">
                  <c:v>2.5000000000000001E-2</c:v>
                </c:pt>
                <c:pt idx="1">
                  <c:v>0.05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</c:numCache>
            </c:numRef>
          </c:xVal>
          <c:yVal>
            <c:numRef>
              <c:f>'conv and rate'!$X$67:$AB$67</c:f>
              <c:numCache>
                <c:formatCode>General</c:formatCode>
                <c:ptCount val="5"/>
                <c:pt idx="0">
                  <c:v>1</c:v>
                </c:pt>
                <c:pt idx="1">
                  <c:v>1.4197330007978748</c:v>
                </c:pt>
                <c:pt idx="2">
                  <c:v>2.4530253302764375</c:v>
                </c:pt>
                <c:pt idx="3">
                  <c:v>5.584275345328046</c:v>
                </c:pt>
                <c:pt idx="4">
                  <c:v>7.1123885441867696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31-421F-8E0C-336F402D2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84576"/>
        <c:axId val="76199424"/>
      </c:scatterChart>
      <c:valAx>
        <c:axId val="761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199424"/>
        <c:crosses val="autoZero"/>
        <c:crossBetween val="midCat"/>
      </c:valAx>
      <c:valAx>
        <c:axId val="7619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184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en-GB" sz="1600" b="1" i="0" baseline="0"/>
              <a:t>online calibration</a:t>
            </a:r>
          </a:p>
        </c:rich>
      </c:tx>
      <c:layout>
        <c:manualLayout>
          <c:xMode val="edge"/>
          <c:yMode val="edge"/>
          <c:x val="0.244218333333333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5349495615843"/>
          <c:y val="9.6279444444444445E-2"/>
          <c:w val="0.79260767983287983"/>
          <c:h val="0.76070472222222263"/>
        </c:manualLayout>
      </c:layout>
      <c:scatterChart>
        <c:scatterStyle val="lineMarker"/>
        <c:varyColors val="0"/>
        <c:ser>
          <c:idx val="0"/>
          <c:order val="0"/>
          <c:tx>
            <c:v>6.3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rate'!$C$5:$C$13</c:f>
              <c:numCache>
                <c:formatCode>General</c:formatCode>
                <c:ptCount val="9"/>
                <c:pt idx="0">
                  <c:v>0.78328981723237234</c:v>
                </c:pt>
                <c:pt idx="1">
                  <c:v>5.1348999129677964</c:v>
                </c:pt>
                <c:pt idx="2">
                  <c:v>10.139251523063528</c:v>
                </c:pt>
                <c:pt idx="3">
                  <c:v>19.06005221932114</c:v>
                </c:pt>
                <c:pt idx="4">
                  <c:v>27.545691906005224</c:v>
                </c:pt>
                <c:pt idx="5">
                  <c:v>34.000580214679424</c:v>
                </c:pt>
                <c:pt idx="6">
                  <c:v>47.345517841601392</c:v>
                </c:pt>
                <c:pt idx="7">
                  <c:v>66.05744125326369</c:v>
                </c:pt>
                <c:pt idx="8">
                  <c:v>95.735422106179286</c:v>
                </c:pt>
              </c:numCache>
            </c:numRef>
          </c:xVal>
          <c:yVal>
            <c:numRef>
              <c:f>'conv and rate'!$AM$17:$AM$25</c:f>
              <c:numCache>
                <c:formatCode>General</c:formatCode>
                <c:ptCount val="9"/>
                <c:pt idx="1">
                  <c:v>42.192766105809497</c:v>
                </c:pt>
                <c:pt idx="2">
                  <c:v>51.69971448101424</c:v>
                </c:pt>
                <c:pt idx="3">
                  <c:v>58.522102575328468</c:v>
                </c:pt>
                <c:pt idx="4">
                  <c:v>61.987574992202383</c:v>
                </c:pt>
                <c:pt idx="5">
                  <c:v>66.127282605520179</c:v>
                </c:pt>
                <c:pt idx="6">
                  <c:v>58.662202927553729</c:v>
                </c:pt>
                <c:pt idx="7">
                  <c:v>47.515266283586193</c:v>
                </c:pt>
                <c:pt idx="8">
                  <c:v>77.977076214353261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B5-4FCA-97E2-64CE8B4CBE84}"/>
            </c:ext>
          </c:extLst>
        </c:ser>
        <c:ser>
          <c:idx val="1"/>
          <c:order val="1"/>
          <c:tx>
            <c:v>9.7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rate'!$D$5:$D$13</c:f>
              <c:numCache>
                <c:formatCode>General</c:formatCode>
                <c:ptCount val="9"/>
                <c:pt idx="0">
                  <c:v>1.013837511987937</c:v>
                </c:pt>
                <c:pt idx="1">
                  <c:v>2.2222222222222334</c:v>
                </c:pt>
                <c:pt idx="2">
                  <c:v>5.5555555555555616</c:v>
                </c:pt>
                <c:pt idx="3">
                  <c:v>15.11111111111112</c:v>
                </c:pt>
                <c:pt idx="4">
                  <c:v>22.888888888888903</c:v>
                </c:pt>
                <c:pt idx="5">
                  <c:v>31.111111111111114</c:v>
                </c:pt>
                <c:pt idx="6">
                  <c:v>40.200000000000003</c:v>
                </c:pt>
                <c:pt idx="7">
                  <c:v>59.5</c:v>
                </c:pt>
                <c:pt idx="8">
                  <c:v>92.25500000000001</c:v>
                </c:pt>
              </c:numCache>
            </c:numRef>
          </c:xVal>
          <c:yVal>
            <c:numRef>
              <c:f>'conv and rate'!$AN$17:$AN$25</c:f>
              <c:numCache>
                <c:formatCode>General</c:formatCode>
                <c:ptCount val="9"/>
                <c:pt idx="1">
                  <c:v>24.459587891772685</c:v>
                </c:pt>
                <c:pt idx="2">
                  <c:v>47.818833581138108</c:v>
                </c:pt>
                <c:pt idx="3">
                  <c:v>54.755097933531907</c:v>
                </c:pt>
                <c:pt idx="4">
                  <c:v>58.718885668747511</c:v>
                </c:pt>
                <c:pt idx="5">
                  <c:v>56.598695519047055</c:v>
                </c:pt>
                <c:pt idx="6">
                  <c:v>57.114320328731111</c:v>
                </c:pt>
                <c:pt idx="7">
                  <c:v>54.758442007857553</c:v>
                </c:pt>
                <c:pt idx="8">
                  <c:v>84.67643370997763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B5-4FCA-97E2-64CE8B4CBE84}"/>
            </c:ext>
          </c:extLst>
        </c:ser>
        <c:ser>
          <c:idx val="2"/>
          <c:order val="2"/>
          <c:tx>
            <c:v>16.6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4F81BD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rate'!$E$5:$E$13</c:f>
              <c:numCache>
                <c:formatCode>General</c:formatCode>
                <c:ptCount val="9"/>
                <c:pt idx="0">
                  <c:v>1.2345679012345794</c:v>
                </c:pt>
                <c:pt idx="1">
                  <c:v>2.7191748710736143</c:v>
                </c:pt>
                <c:pt idx="2">
                  <c:v>4.5944678856071306</c:v>
                </c:pt>
                <c:pt idx="3">
                  <c:v>10.923581809657767</c:v>
                </c:pt>
                <c:pt idx="4">
                  <c:v>21.003281762775433</c:v>
                </c:pt>
                <c:pt idx="5">
                  <c:v>29.442100328176281</c:v>
                </c:pt>
                <c:pt idx="6">
                  <c:v>48.335677449601498</c:v>
                </c:pt>
                <c:pt idx="7">
                  <c:v>71.64205344585092</c:v>
                </c:pt>
                <c:pt idx="8">
                  <c:v>81.293952180028128</c:v>
                </c:pt>
              </c:numCache>
            </c:numRef>
          </c:xVal>
          <c:yVal>
            <c:numRef>
              <c:f>'conv and rate'!$AO$17:$AO$25</c:f>
              <c:numCache>
                <c:formatCode>General</c:formatCode>
                <c:ptCount val="9"/>
                <c:pt idx="1">
                  <c:v>41.919486058324743</c:v>
                </c:pt>
                <c:pt idx="2">
                  <c:v>72.036302214778161</c:v>
                </c:pt>
                <c:pt idx="3">
                  <c:v>100</c:v>
                </c:pt>
                <c:pt idx="4">
                  <c:v>94.97339593093659</c:v>
                </c:pt>
                <c:pt idx="5">
                  <c:v>89.298640008771144</c:v>
                </c:pt>
                <c:pt idx="6">
                  <c:v>71.922267728138422</c:v>
                </c:pt>
                <c:pt idx="7">
                  <c:v>59.236720874636269</c:v>
                </c:pt>
                <c:pt idx="8">
                  <c:v>81.696552290062812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CB5-4FCA-97E2-64CE8B4CBE84}"/>
            </c:ext>
          </c:extLst>
        </c:ser>
        <c:ser>
          <c:idx val="3"/>
          <c:order val="3"/>
          <c:tx>
            <c:v>18.3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9BBB59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rate'!$F$5:$F$13</c:f>
              <c:numCache>
                <c:formatCode>General</c:formatCode>
                <c:ptCount val="9"/>
                <c:pt idx="0">
                  <c:v>0</c:v>
                </c:pt>
                <c:pt idx="1">
                  <c:v>3.5212626461089562</c:v>
                </c:pt>
                <c:pt idx="2">
                  <c:v>5.3991942734353033</c:v>
                </c:pt>
                <c:pt idx="3">
                  <c:v>18.309974211303938</c:v>
                </c:pt>
                <c:pt idx="4">
                  <c:v>23.943769093282977</c:v>
                </c:pt>
                <c:pt idx="5">
                  <c:v>27.699632347935673</c:v>
                </c:pt>
                <c:pt idx="6">
                  <c:v>37.863937280839515</c:v>
                </c:pt>
                <c:pt idx="7">
                  <c:v>54.272364874603461</c:v>
                </c:pt>
                <c:pt idx="8">
                  <c:v>80.14087304102388</c:v>
                </c:pt>
              </c:numCache>
            </c:numRef>
          </c:xVal>
          <c:yVal>
            <c:numRef>
              <c:f>'conv and rate'!$AP$17:$AP$25</c:f>
              <c:numCache>
                <c:formatCode>General</c:formatCode>
                <c:ptCount val="9"/>
                <c:pt idx="1">
                  <c:v>14.908855991791503</c:v>
                </c:pt>
                <c:pt idx="2">
                  <c:v>44.775003148281023</c:v>
                </c:pt>
                <c:pt idx="3">
                  <c:v>40.529503070219683</c:v>
                </c:pt>
                <c:pt idx="4">
                  <c:v>49.949023263351222</c:v>
                </c:pt>
                <c:pt idx="5">
                  <c:v>57.360847339917086</c:v>
                </c:pt>
                <c:pt idx="6">
                  <c:v>53.261773364204821</c:v>
                </c:pt>
                <c:pt idx="7">
                  <c:v>51.581676663193008</c:v>
                </c:pt>
                <c:pt idx="8">
                  <c:v>89.681646902263864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CB5-4FCA-97E2-64CE8B4CBE84}"/>
            </c:ext>
          </c:extLst>
        </c:ser>
        <c:ser>
          <c:idx val="4"/>
          <c:order val="4"/>
          <c:tx>
            <c:v>27.8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rgbClr val="F79646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rate'!$G$5:$G$13</c:f>
              <c:numCache>
                <c:formatCode>General</c:formatCode>
                <c:ptCount val="9"/>
                <c:pt idx="0">
                  <c:v>0</c:v>
                </c:pt>
                <c:pt idx="1">
                  <c:v>1.7730496453900741</c:v>
                </c:pt>
                <c:pt idx="2">
                  <c:v>3.3096926713947945</c:v>
                </c:pt>
                <c:pt idx="3">
                  <c:v>6.9148936170212743</c:v>
                </c:pt>
                <c:pt idx="4">
                  <c:v>10.401891252955082</c:v>
                </c:pt>
                <c:pt idx="5">
                  <c:v>13.238770685579192</c:v>
                </c:pt>
                <c:pt idx="6">
                  <c:v>16.07565011820331</c:v>
                </c:pt>
                <c:pt idx="7">
                  <c:v>25.768321513002363</c:v>
                </c:pt>
                <c:pt idx="8">
                  <c:v>51.347517730496449</c:v>
                </c:pt>
              </c:numCache>
            </c:numRef>
          </c:xVal>
          <c:yVal>
            <c:numRef>
              <c:f>'conv and rate'!$AQ$17:$AQ$25</c:f>
              <c:numCache>
                <c:formatCode>General</c:formatCode>
                <c:ptCount val="9"/>
                <c:pt idx="1">
                  <c:v>11.116027259302243</c:v>
                </c:pt>
                <c:pt idx="2">
                  <c:v>26.152236603504647</c:v>
                </c:pt>
                <c:pt idx="3">
                  <c:v>57.521882606755362</c:v>
                </c:pt>
                <c:pt idx="4">
                  <c:v>54.803419450701824</c:v>
                </c:pt>
                <c:pt idx="5">
                  <c:v>54.539248588656392</c:v>
                </c:pt>
                <c:pt idx="6">
                  <c:v>61.756544779796336</c:v>
                </c:pt>
                <c:pt idx="7">
                  <c:v>63.363349400999773</c:v>
                </c:pt>
                <c:pt idx="8">
                  <c:v>57.003319694166393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CB5-4FCA-97E2-64CE8B4CBE84}"/>
            </c:ext>
          </c:extLst>
        </c:ser>
        <c:ser>
          <c:idx val="5"/>
          <c:order val="5"/>
          <c:tx>
            <c:v>38.9 nm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" lastClr="FFFFFF">
                  <a:lumMod val="65000"/>
                </a:sys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rate'!$H$5:$H$13</c:f>
              <c:numCache>
                <c:formatCode>General</c:formatCode>
                <c:ptCount val="9"/>
                <c:pt idx="0">
                  <c:v>0</c:v>
                </c:pt>
                <c:pt idx="1">
                  <c:v>1.0416666666666572</c:v>
                </c:pt>
                <c:pt idx="2">
                  <c:v>0.69444444444442865</c:v>
                </c:pt>
                <c:pt idx="3">
                  <c:v>8.5648148148148238</c:v>
                </c:pt>
                <c:pt idx="4">
                  <c:v>10.879629629629633</c:v>
                </c:pt>
                <c:pt idx="5">
                  <c:v>11.111111111111105</c:v>
                </c:pt>
                <c:pt idx="6">
                  <c:v>14.583333333333329</c:v>
                </c:pt>
                <c:pt idx="7">
                  <c:v>27.546296296296291</c:v>
                </c:pt>
                <c:pt idx="8">
                  <c:v>41.562499999999993</c:v>
                </c:pt>
              </c:numCache>
            </c:numRef>
          </c:xVal>
          <c:yVal>
            <c:numRef>
              <c:f>'conv and rate'!$AR$17:$AR$25</c:f>
              <c:numCache>
                <c:formatCode>General</c:formatCode>
                <c:ptCount val="9"/>
                <c:pt idx="1">
                  <c:v>14.581450451017686</c:v>
                </c:pt>
                <c:pt idx="2">
                  <c:v>54.713760501802632</c:v>
                </c:pt>
                <c:pt idx="3">
                  <c:v>39.600405342633088</c:v>
                </c:pt>
                <c:pt idx="4">
                  <c:v>41.147473393172667</c:v>
                </c:pt>
                <c:pt idx="5">
                  <c:v>45.619701041041651</c:v>
                </c:pt>
                <c:pt idx="6">
                  <c:v>45.342827387674731</c:v>
                </c:pt>
                <c:pt idx="7">
                  <c:v>35.140004841757836</c:v>
                </c:pt>
                <c:pt idx="8">
                  <c:v>54.140897202526808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CB5-4FCA-97E2-64CE8B4CBE84}"/>
            </c:ext>
          </c:extLst>
        </c:ser>
        <c:ser>
          <c:idx val="6"/>
          <c:order val="6"/>
          <c:tx>
            <c:v>44.7 nm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8064A2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rate'!$I$5:$I$13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2.0737327188940142</c:v>
                </c:pt>
                <c:pt idx="3">
                  <c:v>3.225806451612911</c:v>
                </c:pt>
                <c:pt idx="4">
                  <c:v>6.2980030721966216</c:v>
                </c:pt>
                <c:pt idx="5">
                  <c:v>6.2980030721966287</c:v>
                </c:pt>
                <c:pt idx="6">
                  <c:v>8.602150537634401</c:v>
                </c:pt>
                <c:pt idx="7">
                  <c:v>18.394777265745009</c:v>
                </c:pt>
                <c:pt idx="8">
                  <c:v>30.337941628264215</c:v>
                </c:pt>
              </c:numCache>
            </c:numRef>
          </c:xVal>
          <c:yVal>
            <c:numRef>
              <c:f>'conv and rate'!$AS$17:$AS$25</c:f>
              <c:numCache>
                <c:formatCode>General</c:formatCode>
                <c:ptCount val="9"/>
                <c:pt idx="2">
                  <c:v>87.887234446000036</c:v>
                </c:pt>
                <c:pt idx="3">
                  <c:v>84.186448480000649</c:v>
                </c:pt>
                <c:pt idx="4">
                  <c:v>99.402935118174796</c:v>
                </c:pt>
                <c:pt idx="5">
                  <c:v>81.22365713267088</c:v>
                </c:pt>
                <c:pt idx="6">
                  <c:v>100</c:v>
                </c:pt>
                <c:pt idx="7">
                  <c:v>80.329906440405821</c:v>
                </c:pt>
                <c:pt idx="8">
                  <c:v>86.543882543514712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CB5-4FCA-97E2-64CE8B4CB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51168"/>
        <c:axId val="91753472"/>
      </c:scatterChart>
      <c:valAx>
        <c:axId val="9175116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Conversion (%)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91753472"/>
        <c:crosses val="autoZero"/>
        <c:crossBetween val="midCat"/>
      </c:valAx>
      <c:valAx>
        <c:axId val="9175347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Acetone</a:t>
                </a:r>
                <a:r>
                  <a:rPr lang="en-GB" baseline="0"/>
                  <a:t> selectivity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9175116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968055555555564"/>
          <c:y val="0.54330833333333362"/>
          <c:w val="0.22018055555555527"/>
          <c:h val="0.301733611111111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Manual</a:t>
            </a:r>
            <a:r>
              <a:rPr lang="en-GB" baseline="0"/>
              <a:t> </a:t>
            </a:r>
            <a:r>
              <a:rPr lang="en-GB" sz="1600" baseline="0"/>
              <a:t>calibration</a:t>
            </a:r>
            <a:endParaRPr lang="en-GB" sz="1600"/>
          </a:p>
        </c:rich>
      </c:tx>
      <c:layout>
        <c:manualLayout>
          <c:xMode val="edge"/>
          <c:yMode val="edge"/>
          <c:x val="0.26642583333333331"/>
          <c:y val="3.52777777777779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5349495615843"/>
          <c:y val="9.6279444444444445E-2"/>
          <c:w val="0.79260767983287983"/>
          <c:h val="0.76070472222222263"/>
        </c:manualLayout>
      </c:layout>
      <c:scatterChart>
        <c:scatterStyle val="lineMarker"/>
        <c:varyColors val="0"/>
        <c:ser>
          <c:idx val="0"/>
          <c:order val="0"/>
          <c:tx>
            <c:v>selectivity at 400 C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rate'!$AM$2:$AS$2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rate'!$AM$10:$AS$10</c:f>
              <c:numCache>
                <c:formatCode>General</c:formatCode>
                <c:ptCount val="7"/>
                <c:pt idx="0">
                  <c:v>33.857354283451407</c:v>
                </c:pt>
                <c:pt idx="1">
                  <c:v>32.974003662519586</c:v>
                </c:pt>
                <c:pt idx="2">
                  <c:v>53.367741602783383</c:v>
                </c:pt>
                <c:pt idx="3">
                  <c:v>32.620899116336332</c:v>
                </c:pt>
                <c:pt idx="4">
                  <c:v>30.797789115646271</c:v>
                </c:pt>
                <c:pt idx="5">
                  <c:v>26.396734693877566</c:v>
                </c:pt>
                <c:pt idx="6">
                  <c:v>56.255392156862683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C7-4364-9573-E7D5DB91945F}"/>
            </c:ext>
          </c:extLst>
        </c:ser>
        <c:ser>
          <c:idx val="1"/>
          <c:order val="1"/>
          <c:tx>
            <c:v>selectivity at 410 C</c:v>
          </c:tx>
          <c:spPr>
            <a:ln w="25400">
              <a:noFill/>
            </a:ln>
          </c:spPr>
          <c:xVal>
            <c:numRef>
              <c:f>'conv and rate'!$AM$2:$AS$2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rate'!$AM$11:$AS$11</c:f>
              <c:numCache>
                <c:formatCode>General</c:formatCode>
                <c:ptCount val="7"/>
                <c:pt idx="0">
                  <c:v>30.268172023606024</c:v>
                </c:pt>
                <c:pt idx="1">
                  <c:v>33.312893604345966</c:v>
                </c:pt>
                <c:pt idx="2">
                  <c:v>40.829620902706893</c:v>
                </c:pt>
                <c:pt idx="3">
                  <c:v>30.28920965934411</c:v>
                </c:pt>
                <c:pt idx="4">
                  <c:v>34.872890992145649</c:v>
                </c:pt>
                <c:pt idx="5">
                  <c:v>26.220531721460528</c:v>
                </c:pt>
                <c:pt idx="6">
                  <c:v>67.472448979591903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C7-4364-9573-E7D5DB91945F}"/>
            </c:ext>
          </c:extLst>
        </c:ser>
        <c:ser>
          <c:idx val="2"/>
          <c:order val="2"/>
          <c:tx>
            <c:v>selectivity at 425 C</c:v>
          </c:tx>
          <c:spPr>
            <a:ln w="25400">
              <a:noFill/>
            </a:ln>
          </c:spPr>
          <c:xVal>
            <c:numRef>
              <c:f>'conv and rate'!$AM$2:$AS$2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rate'!$AM$12:$AS$12</c:f>
              <c:numCache>
                <c:formatCode>General</c:formatCode>
                <c:ptCount val="7"/>
                <c:pt idx="0">
                  <c:v>24.310744247610113</c:v>
                </c:pt>
                <c:pt idx="1">
                  <c:v>31.98021194394406</c:v>
                </c:pt>
                <c:pt idx="2">
                  <c:v>33.662526843580402</c:v>
                </c:pt>
                <c:pt idx="3">
                  <c:v>29.333306486932511</c:v>
                </c:pt>
                <c:pt idx="4">
                  <c:v>35.779394063389766</c:v>
                </c:pt>
                <c:pt idx="5">
                  <c:v>20.291616954474101</c:v>
                </c:pt>
                <c:pt idx="6">
                  <c:v>42.611244037845019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C7-4364-9573-E7D5DB91945F}"/>
            </c:ext>
          </c:extLst>
        </c:ser>
        <c:ser>
          <c:idx val="3"/>
          <c:order val="3"/>
          <c:tx>
            <c:v>selectivity at 450 C</c:v>
          </c:tx>
          <c:spPr>
            <a:ln w="25400">
              <a:noFill/>
            </a:ln>
          </c:spPr>
          <c:xVal>
            <c:numRef>
              <c:f>'conv and rate'!$AM$2:$AS$2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rate'!$AM$13:$AS$13</c:f>
              <c:numCache>
                <c:formatCode>General</c:formatCode>
                <c:ptCount val="7"/>
                <c:pt idx="0">
                  <c:v>47.921187384044522</c:v>
                </c:pt>
                <c:pt idx="1">
                  <c:v>49.499037300939676</c:v>
                </c:pt>
                <c:pt idx="2">
                  <c:v>46.439703997438983</c:v>
                </c:pt>
                <c:pt idx="3">
                  <c:v>50.999298978883608</c:v>
                </c:pt>
                <c:pt idx="4">
                  <c:v>32.187549924646532</c:v>
                </c:pt>
                <c:pt idx="5">
                  <c:v>31.248918361947066</c:v>
                </c:pt>
                <c:pt idx="6">
                  <c:v>49.293895802366002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C7-4364-9573-E7D5DB919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09664"/>
        <c:axId val="93986816"/>
      </c:scatterChart>
      <c:valAx>
        <c:axId val="91809664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Particle</a:t>
                </a:r>
                <a:r>
                  <a:rPr lang="en-GB" baseline="0"/>
                  <a:t> size (nm)</a:t>
                </a:r>
                <a:endParaRPr lang="en-GB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93986816"/>
        <c:crosses val="autoZero"/>
        <c:crossBetween val="midCat"/>
        <c:majorUnit val="10"/>
      </c:valAx>
      <c:valAx>
        <c:axId val="9398681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Acetone</a:t>
                </a:r>
                <a:r>
                  <a:rPr lang="en-GB" baseline="0"/>
                  <a:t> selectivity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91809664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993055555555571"/>
          <c:y val="0.11291944444444445"/>
          <c:w val="0.41068055555555588"/>
          <c:h val="0.188844722222222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Online</a:t>
            </a:r>
            <a:r>
              <a:rPr lang="en-GB" baseline="0"/>
              <a:t> </a:t>
            </a:r>
            <a:r>
              <a:rPr lang="en-GB" sz="1600" baseline="0"/>
              <a:t>calibration</a:t>
            </a:r>
            <a:endParaRPr lang="en-GB" sz="1600"/>
          </a:p>
        </c:rich>
      </c:tx>
      <c:layout>
        <c:manualLayout>
          <c:xMode val="edge"/>
          <c:yMode val="edge"/>
          <c:x val="0.26642583333333331"/>
          <c:y val="3.52777777777780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338138888888891"/>
          <c:y val="9.6279444444444445E-2"/>
          <c:w val="0.79260767983287983"/>
          <c:h val="0.76070472222222263"/>
        </c:manualLayout>
      </c:layout>
      <c:scatterChart>
        <c:scatterStyle val="lineMarker"/>
        <c:varyColors val="0"/>
        <c:ser>
          <c:idx val="0"/>
          <c:order val="0"/>
          <c:tx>
            <c:v>selectivity at 400 C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rate'!$AM$2:$AS$2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rate'!$AM$22:$AS$22</c:f>
              <c:numCache>
                <c:formatCode>General</c:formatCode>
                <c:ptCount val="7"/>
                <c:pt idx="0">
                  <c:v>66.127282605520179</c:v>
                </c:pt>
                <c:pt idx="1">
                  <c:v>56.598695519047055</c:v>
                </c:pt>
                <c:pt idx="2">
                  <c:v>89.298640008771144</c:v>
                </c:pt>
                <c:pt idx="3">
                  <c:v>57.360847339917086</c:v>
                </c:pt>
                <c:pt idx="4">
                  <c:v>54.539248588656392</c:v>
                </c:pt>
                <c:pt idx="5">
                  <c:v>45.619701041041651</c:v>
                </c:pt>
                <c:pt idx="6">
                  <c:v>81.22365713267088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58-4C2C-B2DC-B2FC338A474F}"/>
            </c:ext>
          </c:extLst>
        </c:ser>
        <c:ser>
          <c:idx val="1"/>
          <c:order val="1"/>
          <c:tx>
            <c:v>selectivity at 410 C</c:v>
          </c:tx>
          <c:spPr>
            <a:ln w="25400">
              <a:noFill/>
            </a:ln>
          </c:spPr>
          <c:xVal>
            <c:numRef>
              <c:f>'conv and rate'!$AM$2:$AS$2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rate'!$AM$23:$AS$23</c:f>
              <c:numCache>
                <c:formatCode>General</c:formatCode>
                <c:ptCount val="7"/>
                <c:pt idx="0">
                  <c:v>58.662202927553729</c:v>
                </c:pt>
                <c:pt idx="1">
                  <c:v>57.114320328731111</c:v>
                </c:pt>
                <c:pt idx="2">
                  <c:v>71.922267728138422</c:v>
                </c:pt>
                <c:pt idx="3">
                  <c:v>53.261773364204821</c:v>
                </c:pt>
                <c:pt idx="4">
                  <c:v>61.756544779796336</c:v>
                </c:pt>
                <c:pt idx="5">
                  <c:v>45.342827387674731</c:v>
                </c:pt>
                <c:pt idx="6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58-4C2C-B2DC-B2FC338A474F}"/>
            </c:ext>
          </c:extLst>
        </c:ser>
        <c:ser>
          <c:idx val="2"/>
          <c:order val="2"/>
          <c:tx>
            <c:v>selectivity at 425 C</c:v>
          </c:tx>
          <c:spPr>
            <a:ln w="25400">
              <a:noFill/>
            </a:ln>
          </c:spPr>
          <c:xVal>
            <c:numRef>
              <c:f>'conv and rate'!$AM$2:$AS$2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rate'!$AM$24:$AS$24</c:f>
              <c:numCache>
                <c:formatCode>General</c:formatCode>
                <c:ptCount val="7"/>
                <c:pt idx="0">
                  <c:v>47.515266283586193</c:v>
                </c:pt>
                <c:pt idx="1">
                  <c:v>54.758442007857553</c:v>
                </c:pt>
                <c:pt idx="2">
                  <c:v>59.236720874636269</c:v>
                </c:pt>
                <c:pt idx="3">
                  <c:v>51.581676663193008</c:v>
                </c:pt>
                <c:pt idx="4">
                  <c:v>63.363349400999773</c:v>
                </c:pt>
                <c:pt idx="5">
                  <c:v>35.140004841757836</c:v>
                </c:pt>
                <c:pt idx="6">
                  <c:v>80.329906440405821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58-4C2C-B2DC-B2FC338A474F}"/>
            </c:ext>
          </c:extLst>
        </c:ser>
        <c:ser>
          <c:idx val="3"/>
          <c:order val="3"/>
          <c:tx>
            <c:v>selectivity at 450 C</c:v>
          </c:tx>
          <c:spPr>
            <a:ln w="25400">
              <a:noFill/>
            </a:ln>
          </c:spPr>
          <c:xVal>
            <c:numRef>
              <c:f>'conv and rate'!$AM$2:$AS$2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rate'!$AM$25:$AS$25</c:f>
              <c:numCache>
                <c:formatCode>General</c:formatCode>
                <c:ptCount val="7"/>
                <c:pt idx="0">
                  <c:v>77.977076214353261</c:v>
                </c:pt>
                <c:pt idx="1">
                  <c:v>84.67643370997763</c:v>
                </c:pt>
                <c:pt idx="2">
                  <c:v>81.696552290062812</c:v>
                </c:pt>
                <c:pt idx="3">
                  <c:v>89.681646902263864</c:v>
                </c:pt>
                <c:pt idx="4">
                  <c:v>57.003319694166393</c:v>
                </c:pt>
                <c:pt idx="5">
                  <c:v>54.140897202526808</c:v>
                </c:pt>
                <c:pt idx="6">
                  <c:v>86.543882543514712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58-4C2C-B2DC-B2FC338A4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09600"/>
        <c:axId val="94036352"/>
      </c:scatterChart>
      <c:valAx>
        <c:axId val="94009600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 i="0" baseline="0"/>
                  <a:t>Particle size (nm)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94036352"/>
        <c:crosses val="autoZero"/>
        <c:crossBetween val="midCat"/>
        <c:majorUnit val="10"/>
      </c:valAx>
      <c:valAx>
        <c:axId val="940363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Acetone</a:t>
                </a:r>
                <a:r>
                  <a:rPr lang="en-GB" baseline="0"/>
                  <a:t> selectivity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94009600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7390277777777923"/>
          <c:y val="0.64208611111111114"/>
          <c:w val="0.44595833333333335"/>
          <c:h val="0.2029558333333335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338138888888891"/>
          <c:y val="9.6279444444444445E-2"/>
          <c:w val="0.79260767983287983"/>
          <c:h val="0.76070472222222263"/>
        </c:manualLayout>
      </c:layout>
      <c:scatterChart>
        <c:scatterStyle val="lineMarker"/>
        <c:varyColors val="0"/>
        <c:ser>
          <c:idx val="0"/>
          <c:order val="0"/>
          <c:tx>
            <c:v>selectivity at 400 C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'conv and rate'!$AM$69:$AS$69</c:f>
                <c:numCache>
                  <c:formatCode>General</c:formatCode>
                  <c:ptCount val="7"/>
                  <c:pt idx="0">
                    <c:v>1.0936306687257655</c:v>
                  </c:pt>
                  <c:pt idx="1">
                    <c:v>0.62893437488168202</c:v>
                  </c:pt>
                  <c:pt idx="2">
                    <c:v>1.7059234010993614</c:v>
                  </c:pt>
                  <c:pt idx="3">
                    <c:v>2.7759347675693085</c:v>
                  </c:pt>
                  <c:pt idx="4">
                    <c:v>7.0582869294193884</c:v>
                  </c:pt>
                  <c:pt idx="5">
                    <c:v>0.82266989846273009</c:v>
                  </c:pt>
                  <c:pt idx="6">
                    <c:v>11.873344900397486</c:v>
                  </c:pt>
                </c:numCache>
              </c:numRef>
            </c:plus>
            <c:minus>
              <c:numRef>
                <c:f>'conv and rate'!$AM$69:$AS$69</c:f>
                <c:numCache>
                  <c:formatCode>General</c:formatCode>
                  <c:ptCount val="7"/>
                  <c:pt idx="0">
                    <c:v>1.0936306687257655</c:v>
                  </c:pt>
                  <c:pt idx="1">
                    <c:v>0.62893437488168202</c:v>
                  </c:pt>
                  <c:pt idx="2">
                    <c:v>1.7059234010993614</c:v>
                  </c:pt>
                  <c:pt idx="3">
                    <c:v>2.7759347675693085</c:v>
                  </c:pt>
                  <c:pt idx="4">
                    <c:v>7.0582869294193884</c:v>
                  </c:pt>
                  <c:pt idx="5">
                    <c:v>0.82266989846273009</c:v>
                  </c:pt>
                  <c:pt idx="6">
                    <c:v>11.873344900397486</c:v>
                  </c:pt>
                </c:numCache>
              </c:numRef>
            </c:minus>
          </c:errBars>
          <c:xVal>
            <c:numRef>
              <c:f>'conv and rate'!$AM$2:$AS$2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rate'!$AM$22:$AS$22</c:f>
              <c:numCache>
                <c:formatCode>General</c:formatCode>
                <c:ptCount val="7"/>
                <c:pt idx="0">
                  <c:v>66.127282605520179</c:v>
                </c:pt>
                <c:pt idx="1">
                  <c:v>56.598695519047055</c:v>
                </c:pt>
                <c:pt idx="2">
                  <c:v>89.298640008771144</c:v>
                </c:pt>
                <c:pt idx="3">
                  <c:v>57.360847339917086</c:v>
                </c:pt>
                <c:pt idx="4">
                  <c:v>54.539248588656392</c:v>
                </c:pt>
                <c:pt idx="5">
                  <c:v>45.619701041041651</c:v>
                </c:pt>
                <c:pt idx="6">
                  <c:v>81.22365713267088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97-430A-9403-5A51883AE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071808"/>
        <c:axId val="218073728"/>
      </c:scatterChart>
      <c:valAx>
        <c:axId val="218071808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 i="0" baseline="0"/>
                  <a:t>Particle size (nm)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218073728"/>
        <c:crosses val="autoZero"/>
        <c:crossBetween val="midCat"/>
        <c:majorUnit val="10"/>
      </c:valAx>
      <c:valAx>
        <c:axId val="21807372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Acetone</a:t>
                </a:r>
                <a:r>
                  <a:rPr lang="en-GB" baseline="0"/>
                  <a:t> selectivity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21807180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739027777777795"/>
          <c:y val="0.64208611111111114"/>
          <c:w val="0.44595833333333335"/>
          <c:h val="0.2029558333333336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043694444444475"/>
          <c:y val="9.6279444444444445E-2"/>
          <c:w val="0.79260767983287983"/>
          <c:h val="0.76070472222222263"/>
        </c:manualLayout>
      </c:layout>
      <c:scatterChart>
        <c:scatterStyle val="lineMarker"/>
        <c:varyColors val="0"/>
        <c:ser>
          <c:idx val="1"/>
          <c:order val="1"/>
          <c:tx>
            <c:v>selectivity at ~30% conversion</c:v>
          </c:tx>
          <c:spPr>
            <a:ln w="25400">
              <a:noFill/>
            </a:ln>
          </c:spPr>
          <c:marker>
            <c:symbol val="circle"/>
            <c:size val="7"/>
            <c:spPr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'conv and rate'!$AM$71:$AS$71</c:f>
                <c:numCache>
                  <c:formatCode>General</c:formatCode>
                  <c:ptCount val="7"/>
                  <c:pt idx="0">
                    <c:v>1.0936306687257655</c:v>
                  </c:pt>
                  <c:pt idx="1">
                    <c:v>0.62893437488168202</c:v>
                  </c:pt>
                  <c:pt idx="2">
                    <c:v>1.7059234010993614</c:v>
                  </c:pt>
                  <c:pt idx="3">
                    <c:v>2.7759347675693085</c:v>
                  </c:pt>
                  <c:pt idx="4">
                    <c:v>0.79189105295091455</c:v>
                  </c:pt>
                  <c:pt idx="5">
                    <c:v>0.47481960117405397</c:v>
                  </c:pt>
                  <c:pt idx="6">
                    <c:v>10.042717406709656</c:v>
                  </c:pt>
                </c:numCache>
              </c:numRef>
            </c:plus>
            <c:minus>
              <c:numRef>
                <c:f>'conv and rate'!$AM$71:$AS$71</c:f>
                <c:numCache>
                  <c:formatCode>General</c:formatCode>
                  <c:ptCount val="7"/>
                  <c:pt idx="0">
                    <c:v>1.0936306687257655</c:v>
                  </c:pt>
                  <c:pt idx="1">
                    <c:v>0.62893437488168202</c:v>
                  </c:pt>
                  <c:pt idx="2">
                    <c:v>1.7059234010993614</c:v>
                  </c:pt>
                  <c:pt idx="3">
                    <c:v>2.7759347675693085</c:v>
                  </c:pt>
                  <c:pt idx="4">
                    <c:v>0.79189105295091455</c:v>
                  </c:pt>
                  <c:pt idx="5">
                    <c:v>0.47481960117405397</c:v>
                  </c:pt>
                  <c:pt idx="6">
                    <c:v>10.042717406709656</c:v>
                  </c:pt>
                </c:numCache>
              </c:numRef>
            </c:minus>
          </c:errBars>
          <c:xVal>
            <c:numRef>
              <c:f>'conv and rate'!$AM$2:$AS$2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rate'!$AM$41:$AS$41</c:f>
              <c:numCache>
                <c:formatCode>General</c:formatCode>
                <c:ptCount val="7"/>
                <c:pt idx="0">
                  <c:v>66.127282605520179</c:v>
                </c:pt>
                <c:pt idx="1">
                  <c:v>56.598695519047055</c:v>
                </c:pt>
                <c:pt idx="2">
                  <c:v>89.298640008771144</c:v>
                </c:pt>
                <c:pt idx="3">
                  <c:v>57.360847339917086</c:v>
                </c:pt>
                <c:pt idx="4">
                  <c:v>63.363349400999773</c:v>
                </c:pt>
                <c:pt idx="5">
                  <c:v>35.140004841757836</c:v>
                </c:pt>
                <c:pt idx="6">
                  <c:v>86.543882543514712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06-4BFA-860E-993D83EF72C0}"/>
            </c:ext>
          </c:extLst>
        </c:ser>
        <c:ser>
          <c:idx val="0"/>
          <c:order val="0"/>
          <c:tx>
            <c:v>selectivity at ~50% conversion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'conv and rate'!$AM$72:$AS$72</c:f>
                <c:numCache>
                  <c:formatCode>General</c:formatCode>
                  <c:ptCount val="7"/>
                  <c:pt idx="0">
                    <c:v>0.71439113544828781</c:v>
                  </c:pt>
                  <c:pt idx="1">
                    <c:v>1.0537841775523218</c:v>
                  </c:pt>
                  <c:pt idx="2">
                    <c:v>0.94486053192723285</c:v>
                  </c:pt>
                  <c:pt idx="3">
                    <c:v>0.24617502547603326</c:v>
                  </c:pt>
                  <c:pt idx="4">
                    <c:v>2.2251888346620246</c:v>
                  </c:pt>
                  <c:pt idx="5">
                    <c:v>1.4496598332506383</c:v>
                  </c:pt>
                </c:numCache>
              </c:numRef>
            </c:plus>
            <c:minus>
              <c:numRef>
                <c:f>'conv and rate'!$AM$72:$AS$72</c:f>
                <c:numCache>
                  <c:formatCode>General</c:formatCode>
                  <c:ptCount val="7"/>
                  <c:pt idx="0">
                    <c:v>0.71439113544828781</c:v>
                  </c:pt>
                  <c:pt idx="1">
                    <c:v>1.0537841775523218</c:v>
                  </c:pt>
                  <c:pt idx="2">
                    <c:v>0.94486053192723285</c:v>
                  </c:pt>
                  <c:pt idx="3">
                    <c:v>0.24617502547603326</c:v>
                  </c:pt>
                  <c:pt idx="4">
                    <c:v>2.2251888346620246</c:v>
                  </c:pt>
                  <c:pt idx="5">
                    <c:v>1.4496598332506383</c:v>
                  </c:pt>
                </c:numCache>
              </c:numRef>
            </c:minus>
          </c:errBars>
          <c:xVal>
            <c:numRef>
              <c:f>'conv and rate'!$AM$2:$AS$2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rate'!$AM$42:$AS$42</c:f>
              <c:numCache>
                <c:formatCode>General</c:formatCode>
                <c:ptCount val="7"/>
                <c:pt idx="0">
                  <c:v>58.662202927553729</c:v>
                </c:pt>
                <c:pt idx="1">
                  <c:v>57.114320328731111</c:v>
                </c:pt>
                <c:pt idx="2">
                  <c:v>71.922267728138422</c:v>
                </c:pt>
                <c:pt idx="3">
                  <c:v>51.581676663193008</c:v>
                </c:pt>
                <c:pt idx="4">
                  <c:v>57.003319694166393</c:v>
                </c:pt>
                <c:pt idx="5">
                  <c:v>54.140897202526808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06-4BFA-860E-993D83EF7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095616"/>
        <c:axId val="218097536"/>
      </c:scatterChart>
      <c:valAx>
        <c:axId val="218095616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 i="0" baseline="0"/>
                  <a:t>Particle size (nm)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218097536"/>
        <c:crosses val="autoZero"/>
        <c:crossBetween val="midCat"/>
        <c:majorUnit val="10"/>
      </c:valAx>
      <c:valAx>
        <c:axId val="21809753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Acetone</a:t>
                </a:r>
                <a:r>
                  <a:rPr lang="en-GB" baseline="0"/>
                  <a:t> selectivity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21809561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6576388888888886"/>
          <c:y val="0.68441944444444469"/>
          <c:w val="0.654097222222223"/>
          <c:h val="0.1606224999999999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46240762457894"/>
          <c:y val="9.3319166666666745E-2"/>
          <c:w val="0.67373308080808281"/>
          <c:h val="0.73139888888890003"/>
        </c:manualLayout>
      </c:layout>
      <c:scatterChart>
        <c:scatterStyle val="lineMarker"/>
        <c:varyColors val="0"/>
        <c:ser>
          <c:idx val="1"/>
          <c:order val="1"/>
          <c:tx>
            <c:v>Fe3O4/SiO2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rate'!$U$2:$AA$2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rate'!$U$10:$AA$10</c:f>
              <c:numCache>
                <c:formatCode>General</c:formatCode>
                <c:ptCount val="7"/>
                <c:pt idx="0">
                  <c:v>29.750507687844497</c:v>
                </c:pt>
                <c:pt idx="1">
                  <c:v>26.886145404663925</c:v>
                </c:pt>
                <c:pt idx="2">
                  <c:v>14.312132103974582</c:v>
                </c:pt>
                <c:pt idx="3">
                  <c:v>17.189488159179938</c:v>
                </c:pt>
                <c:pt idx="4">
                  <c:v>9.0854308626523874</c:v>
                </c:pt>
                <c:pt idx="5">
                  <c:v>6.9444444444444402</c:v>
                </c:pt>
                <c:pt idx="6">
                  <c:v>3.4988905956647938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50-4019-B93D-5B9D6643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00320"/>
        <c:axId val="218211072"/>
      </c:scatterChar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rate'!$BE$2:$BK$2</c:f>
              <c:numCache>
                <c:formatCode>General</c:formatCode>
                <c:ptCount val="7"/>
                <c:pt idx="0">
                  <c:v>6.3</c:v>
                </c:pt>
                <c:pt idx="1">
                  <c:v>9</c:v>
                </c:pt>
                <c:pt idx="2">
                  <c:v>16.600000000000001</c:v>
                </c:pt>
                <c:pt idx="3">
                  <c:v>18.100000000000001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rate'!$BE$22:$BK$22</c:f>
              <c:numCache>
                <c:formatCode>General</c:formatCode>
                <c:ptCount val="7"/>
                <c:pt idx="0">
                  <c:v>19.673202295317935</c:v>
                </c:pt>
                <c:pt idx="1">
                  <c:v>15.217207574393997</c:v>
                </c:pt>
                <c:pt idx="2">
                  <c:v>12.780539325108025</c:v>
                </c:pt>
                <c:pt idx="3">
                  <c:v>9.8600360615003293</c:v>
                </c:pt>
                <c:pt idx="4">
                  <c:v>4.9551257235324959</c:v>
                </c:pt>
                <c:pt idx="5">
                  <c:v>3.1680347945167795</c:v>
                </c:pt>
                <c:pt idx="6">
                  <c:v>2.8419269008700376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50-4019-B93D-5B9D6643F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18880"/>
        <c:axId val="218212992"/>
      </c:scatterChart>
      <c:valAx>
        <c:axId val="21820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3574495386658228"/>
              <c:y val="0.915843055555558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8211072"/>
        <c:crosses val="autoZero"/>
        <c:crossBetween val="midCat"/>
        <c:majorUnit val="10"/>
      </c:valAx>
      <c:valAx>
        <c:axId val="218211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Acid reaction rate (mmol</a:t>
                </a:r>
                <a:r>
                  <a:rPr lang="en-GB" b="0" baseline="0"/>
                  <a:t> </a:t>
                </a:r>
                <a:r>
                  <a:rPr lang="en-GB" b="0"/>
                  <a:t>min</a:t>
                </a:r>
                <a:r>
                  <a:rPr lang="en-GB" b="0" baseline="30000"/>
                  <a:t>-1</a:t>
                </a:r>
                <a:r>
                  <a:rPr lang="en-GB" b="0"/>
                  <a:t> g</a:t>
                </a:r>
                <a:r>
                  <a:rPr lang="en-GB" b="0" baseline="30000"/>
                  <a:t>-1</a:t>
                </a:r>
                <a:r>
                  <a:rPr lang="en-GB" b="0"/>
                  <a:t> 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5624181729056975E-2"/>
              <c:y val="7.738027777777778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8200320"/>
        <c:crosses val="autoZero"/>
        <c:crossBetween val="midCat"/>
      </c:valAx>
      <c:valAx>
        <c:axId val="218212992"/>
        <c:scaling>
          <c:orientation val="minMax"/>
          <c:max val="2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218218880"/>
        <c:crosses val="max"/>
        <c:crossBetween val="midCat"/>
      </c:valAx>
      <c:valAx>
        <c:axId val="21821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8212992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80021310631499"/>
          <c:y val="6.4827885285841561E-2"/>
          <c:w val="0.77855559615689429"/>
          <c:h val="0.76070472222222263"/>
        </c:manualLayout>
      </c:layout>
      <c:scatterChart>
        <c:scatterStyle val="lineMarker"/>
        <c:varyColors val="0"/>
        <c:ser>
          <c:idx val="0"/>
          <c:order val="0"/>
          <c:tx>
            <c:v>selectivity at ~50% conversion</c:v>
          </c:tx>
          <c:spPr>
            <a:ln w="25400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'conv and rate'!$AM$2:$AS$2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rate'!$AM$42:$AS$42</c:f>
              <c:numCache>
                <c:formatCode>General</c:formatCode>
                <c:ptCount val="7"/>
                <c:pt idx="0">
                  <c:v>58.662202927553729</c:v>
                </c:pt>
                <c:pt idx="1">
                  <c:v>57.114320328731111</c:v>
                </c:pt>
                <c:pt idx="2">
                  <c:v>71.922267728138422</c:v>
                </c:pt>
                <c:pt idx="3">
                  <c:v>51.581676663193008</c:v>
                </c:pt>
                <c:pt idx="4">
                  <c:v>57.003319694166393</c:v>
                </c:pt>
                <c:pt idx="5">
                  <c:v>54.140897202526808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EF-4E03-BD98-7CDDE3818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934592"/>
        <c:axId val="355936512"/>
      </c:scatterChart>
      <c:valAx>
        <c:axId val="355934592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 i="0" baseline="0"/>
                  <a:t>Particle size (nm)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355936512"/>
        <c:crosses val="autoZero"/>
        <c:crossBetween val="midCat"/>
        <c:majorUnit val="10"/>
      </c:valAx>
      <c:valAx>
        <c:axId val="35593651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Acetone</a:t>
                </a:r>
                <a:r>
                  <a:rPr lang="en-GB" baseline="0"/>
                  <a:t> selectivity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crossAx val="355934592"/>
        <c:crosses val="autoZero"/>
        <c:crossBetween val="midCat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337833333333332"/>
          <c:y val="4.5517222222222223E-2"/>
          <c:w val="0.79190722222222221"/>
          <c:h val="0.78078777777777753"/>
        </c:manualLayout>
      </c:layout>
      <c:scatterChart>
        <c:scatterStyle val="lineMarker"/>
        <c:varyColors val="0"/>
        <c:ser>
          <c:idx val="1"/>
          <c:order val="0"/>
          <c:tx>
            <c:v>total Fe acid sites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error!$AJ$11:$AP$11</c:f>
                <c:numCache>
                  <c:formatCode>General</c:formatCode>
                  <c:ptCount val="7"/>
                  <c:pt idx="0">
                    <c:v>8.6103575654100123E-2</c:v>
                  </c:pt>
                  <c:pt idx="1">
                    <c:v>0.10215100837638444</c:v>
                  </c:pt>
                  <c:pt idx="2">
                    <c:v>0.19704811559791729</c:v>
                  </c:pt>
                  <c:pt idx="3">
                    <c:v>0.70714994057295288</c:v>
                  </c:pt>
                  <c:pt idx="4">
                    <c:v>1.8229195149784114</c:v>
                  </c:pt>
                  <c:pt idx="5">
                    <c:v>1.1956688093051777</c:v>
                  </c:pt>
                  <c:pt idx="6">
                    <c:v>2.3862614503846213</c:v>
                  </c:pt>
                </c:numCache>
              </c:numRef>
            </c:plus>
            <c:minus>
              <c:numRef>
                <c:f>error!$AJ$11:$AP$11</c:f>
                <c:numCache>
                  <c:formatCode>General</c:formatCode>
                  <c:ptCount val="7"/>
                  <c:pt idx="0">
                    <c:v>8.6103575654100123E-2</c:v>
                  </c:pt>
                  <c:pt idx="1">
                    <c:v>0.10215100837638444</c:v>
                  </c:pt>
                  <c:pt idx="2">
                    <c:v>0.19704811559791729</c:v>
                  </c:pt>
                  <c:pt idx="3">
                    <c:v>0.70714994057295288</c:v>
                  </c:pt>
                  <c:pt idx="4">
                    <c:v>1.8229195149784114</c:v>
                  </c:pt>
                  <c:pt idx="5">
                    <c:v>1.1956688093051777</c:v>
                  </c:pt>
                  <c:pt idx="6">
                    <c:v>2.3862614503846213</c:v>
                  </c:pt>
                </c:numCache>
              </c:numRef>
            </c:minus>
          </c:errBars>
          <c:xVal>
            <c:numRef>
              <c:f>error!$AJ$2:$AP$2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error!$AJ$9:$AP$9</c:f>
              <c:numCache>
                <c:formatCode>General</c:formatCode>
                <c:ptCount val="7"/>
                <c:pt idx="0">
                  <c:v>7.6283353045755122</c:v>
                </c:pt>
                <c:pt idx="1">
                  <c:v>14.301141172693576</c:v>
                </c:pt>
                <c:pt idx="2">
                  <c:v>9.3543347084801187</c:v>
                </c:pt>
                <c:pt idx="3">
                  <c:v>16.688823455514505</c:v>
                </c:pt>
                <c:pt idx="4">
                  <c:v>12.760436604848861</c:v>
                </c:pt>
                <c:pt idx="5">
                  <c:v>19.130700948882758</c:v>
                </c:pt>
                <c:pt idx="6">
                  <c:v>11.982502039947924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7E-4B87-BE02-387D3604B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413696"/>
        <c:axId val="94130944"/>
      </c:scatterChart>
      <c:valAx>
        <c:axId val="21841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/>
                  <a:t>Fe</a:t>
                </a:r>
                <a:r>
                  <a:rPr lang="en-GB" baseline="-25000"/>
                  <a:t>3</a:t>
                </a:r>
                <a:r>
                  <a:rPr lang="en-GB"/>
                  <a:t>O</a:t>
                </a:r>
                <a:r>
                  <a:rPr lang="en-GB" baseline="-25000"/>
                  <a:t>4</a:t>
                </a:r>
                <a:r>
                  <a:rPr lang="en-GB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4123083333333326"/>
              <c:y val="0.912315277777777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94130944"/>
        <c:crosses val="autoZero"/>
        <c:crossBetween val="midCat"/>
        <c:majorUnit val="10"/>
      </c:valAx>
      <c:valAx>
        <c:axId val="9413094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/>
                  <a:t>TOF</a:t>
                </a:r>
                <a:r>
                  <a:rPr lang="en-GB" baseline="0"/>
                  <a:t> (min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4163055555555561E-2"/>
              <c:y val="0.323010555555559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8413696"/>
        <c:crosses val="autoZero"/>
        <c:crossBetween val="midCat"/>
        <c:majorUnit val="5"/>
        <c:minorUnit val="1"/>
      </c:valAx>
      <c:spPr>
        <a:ln w="1270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/m</a:t>
            </a:r>
            <a:r>
              <a:rPr lang="en-GB" sz="1200" b="0" baseline="30000"/>
              <a:t>2</a:t>
            </a:r>
            <a:r>
              <a:rPr lang="en-GB" sz="1200" b="0"/>
              <a:t>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400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22206085858585856"/>
          <c:y val="1.27608333333335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934797979798273"/>
          <c:y val="9.3319139828551459E-2"/>
          <c:w val="0.74184545454548034"/>
          <c:h val="0.73139888888890003"/>
        </c:manualLayout>
      </c:layout>
      <c:scatterChart>
        <c:scatterStyle val="lineMarker"/>
        <c:varyColors val="0"/>
        <c:ser>
          <c:idx val="2"/>
          <c:order val="0"/>
          <c:tx>
            <c:v>Fe3O4 heated in N2</c:v>
          </c:tx>
          <c:spPr>
            <a:ln w="28575">
              <a:noFill/>
            </a:ln>
          </c:spPr>
          <c:xVal>
            <c:numRef>
              <c:f>'conv and rate'!#REF!</c:f>
            </c:numRef>
          </c:xVal>
          <c:yVal>
            <c:numRef>
              <c:f>'conv and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BB-4CFF-B0FC-BD89270FFC82}"/>
            </c:ext>
          </c:extLst>
        </c:ser>
        <c:ser>
          <c:idx val="1"/>
          <c:order val="1"/>
          <c:tx>
            <c:v>Fe2O3 calcined and reduced</c:v>
          </c:tx>
          <c:spPr>
            <a:ln w="28575">
              <a:noFill/>
            </a:ln>
          </c:spPr>
          <c:xVal>
            <c:numRef>
              <c:f>'conv and rate'!#REF!</c:f>
            </c:numRef>
          </c:xVal>
          <c:yVal>
            <c:numRef>
              <c:f>'conv and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BB-4CFF-B0FC-BD89270FFC82}"/>
            </c:ext>
          </c:extLst>
        </c:ser>
        <c:ser>
          <c:idx val="0"/>
          <c:order val="2"/>
          <c:tx>
            <c:v>Fe3O4/SiO2</c:v>
          </c:tx>
          <c:spPr>
            <a:ln w="28575">
              <a:noFill/>
            </a:ln>
          </c:spPr>
          <c:xVal>
            <c:numRef>
              <c:f>'conv and rate'!$DZ$1:$EF$1</c:f>
              <c:numCache>
                <c:formatCode>General</c:formatCode>
                <c:ptCount val="7"/>
                <c:pt idx="0">
                  <c:v>6.3</c:v>
                </c:pt>
                <c:pt idx="1">
                  <c:v>9</c:v>
                </c:pt>
                <c:pt idx="2">
                  <c:v>16.5</c:v>
                </c:pt>
                <c:pt idx="3">
                  <c:v>18.100000000000001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rate'!$BN$10:$BT$10</c:f>
              <c:numCache>
                <c:formatCode>General</c:formatCode>
                <c:ptCount val="7"/>
                <c:pt idx="0">
                  <c:v>5.47431238532552E-2</c:v>
                </c:pt>
                <c:pt idx="1">
                  <c:v>7.4187770463968405E-2</c:v>
                </c:pt>
                <c:pt idx="2">
                  <c:v>0.10942781775212261</c:v>
                </c:pt>
                <c:pt idx="3">
                  <c:v>8.8444252224300746E-2</c:v>
                </c:pt>
                <c:pt idx="4">
                  <c:v>6.7101003293225991E-2</c:v>
                </c:pt>
                <c:pt idx="5">
                  <c:v>6.1513643488715394E-2</c:v>
                </c:pt>
                <c:pt idx="6">
                  <c:v>7.5996703696170592E-2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1BB-4CFF-B0FC-BD89270FF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51360"/>
        <c:axId val="76383744"/>
      </c:scatterChart>
      <c:valAx>
        <c:axId val="7635136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47308080808083"/>
              <c:y val="0.9158430555555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76383744"/>
        <c:crosses val="autoZero"/>
        <c:crossBetween val="midCat"/>
      </c:valAx>
      <c:valAx>
        <c:axId val="76383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 production rate</a:t>
                </a:r>
              </a:p>
              <a:p>
                <a:pPr>
                  <a:defRPr b="0"/>
                </a:pPr>
                <a:r>
                  <a:rPr lang="en-GB" b="0"/>
                  <a:t>(mmol /min /g /m</a:t>
                </a:r>
                <a:r>
                  <a:rPr lang="en-GB" b="0" baseline="30000"/>
                  <a:t>2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8776294752079738E-2"/>
              <c:y val="0.158381124819294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76351360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7394090909091826"/>
          <c:y val="0.10970888888888899"/>
          <c:w val="0.55699570707071777"/>
          <c:h val="0.2094298942245954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/m</a:t>
            </a:r>
            <a:r>
              <a:rPr lang="en-GB" sz="1200" b="0" baseline="30000"/>
              <a:t>2</a:t>
            </a:r>
            <a:r>
              <a:rPr lang="en-GB" sz="1200" b="0"/>
              <a:t>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425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22206085858585856"/>
          <c:y val="1.27608333333335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934797979798278"/>
          <c:y val="9.3319139828551459E-2"/>
          <c:w val="0.74184545454548101"/>
          <c:h val="0.73139888888890003"/>
        </c:manualLayout>
      </c:layout>
      <c:scatterChart>
        <c:scatterStyle val="lineMarker"/>
        <c:varyColors val="0"/>
        <c:ser>
          <c:idx val="2"/>
          <c:order val="0"/>
          <c:tx>
            <c:v>Fe3O4 heated in N2</c:v>
          </c:tx>
          <c:spPr>
            <a:ln w="28575">
              <a:noFill/>
            </a:ln>
          </c:spPr>
          <c:xVal>
            <c:numRef>
              <c:f>'conv and rate'!#REF!</c:f>
            </c:numRef>
          </c:xVal>
          <c:yVal>
            <c:numRef>
              <c:f>'conv and rate'!#REF!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F4-418C-B975-081F04CEC77A}"/>
            </c:ext>
          </c:extLst>
        </c:ser>
        <c:ser>
          <c:idx val="1"/>
          <c:order val="1"/>
          <c:tx>
            <c:v>Fe2O3 calcined and reduced</c:v>
          </c:tx>
          <c:spPr>
            <a:ln w="28575">
              <a:noFill/>
            </a:ln>
          </c:spPr>
          <c:xVal>
            <c:numRef>
              <c:f>'conv and rate'!#REF!</c:f>
            </c:numRef>
          </c:xVal>
          <c:yVal>
            <c:numRef>
              <c:f>'conv and rate'!#REF!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F4-418C-B975-081F04CEC77A}"/>
            </c:ext>
          </c:extLst>
        </c:ser>
        <c:ser>
          <c:idx val="0"/>
          <c:order val="2"/>
          <c:tx>
            <c:v>Fe3O4/SiO2</c:v>
          </c:tx>
          <c:spPr>
            <a:ln w="28575">
              <a:noFill/>
            </a:ln>
          </c:spPr>
          <c:xVal>
            <c:numRef>
              <c:f>'conv and rate'!$V$2:$AA$2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rate'!$BO$12:$BT$12</c:f>
              <c:numCache>
                <c:formatCode>General</c:formatCode>
                <c:ptCount val="6"/>
                <c:pt idx="0">
                  <c:v>0.13760791646937032</c:v>
                </c:pt>
                <c:pt idx="1">
                  <c:v>0.167955744893657</c:v>
                </c:pt>
                <c:pt idx="2">
                  <c:v>0.15582582987199389</c:v>
                </c:pt>
                <c:pt idx="3">
                  <c:v>0.15173330766823834</c:v>
                </c:pt>
                <c:pt idx="4">
                  <c:v>0.11723131144272084</c:v>
                </c:pt>
                <c:pt idx="5">
                  <c:v>0.16813048972382333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F4-418C-B975-081F04CEC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38112"/>
        <c:axId val="77359360"/>
      </c:scatterChart>
      <c:valAx>
        <c:axId val="7733811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47308080808083"/>
              <c:y val="0.915843055555567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77359360"/>
        <c:crosses val="autoZero"/>
        <c:crossBetween val="midCat"/>
      </c:valAx>
      <c:valAx>
        <c:axId val="77359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</a:t>
                </a:r>
                <a:r>
                  <a:rPr lang="en-GB" b="0" baseline="0"/>
                  <a:t> production </a:t>
                </a:r>
                <a:r>
                  <a:rPr lang="en-GB" b="0"/>
                  <a:t>rate</a:t>
                </a:r>
              </a:p>
              <a:p>
                <a:pPr>
                  <a:defRPr b="0"/>
                </a:pPr>
                <a:r>
                  <a:rPr lang="en-GB" b="0"/>
                  <a:t>(mmol /min /g /m</a:t>
                </a:r>
                <a:r>
                  <a:rPr lang="en-GB" b="0" baseline="30000"/>
                  <a:t>2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8776294752079738E-2"/>
              <c:y val="0.158381124819294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77338112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7394090909091843"/>
          <c:y val="0.10970888888888899"/>
          <c:w val="0.55699570707071799"/>
          <c:h val="0.2094298942245954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/m</a:t>
            </a:r>
            <a:r>
              <a:rPr lang="en-GB" sz="1200" b="0" baseline="30000"/>
              <a:t>2</a:t>
            </a:r>
            <a:r>
              <a:rPr lang="en-GB" sz="1200" b="0"/>
              <a:t>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450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22206085858585856"/>
          <c:y val="1.27608333333335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934797979798284"/>
          <c:y val="9.3319139828551459E-2"/>
          <c:w val="0.74184545454548168"/>
          <c:h val="0.73139888888890003"/>
        </c:manualLayout>
      </c:layout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xVal>
            <c:numRef>
              <c:f>'conv and rate'!#REF!</c:f>
            </c:numRef>
          </c:xVal>
          <c:yVal>
            <c:numRef>
              <c:f>'conv and rate'!#REF!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74-465B-8F1C-07D6EDFF1B36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'conv and rate'!#REF!</c:f>
            </c:numRef>
          </c:xVal>
          <c:yVal>
            <c:numRef>
              <c:f>'conv and rate'!#REF!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74-465B-8F1C-07D6EDFF1B36}"/>
            </c:ext>
          </c:extLst>
        </c:ser>
        <c:ser>
          <c:idx val="0"/>
          <c:order val="2"/>
          <c:spPr>
            <a:ln w="28575">
              <a:noFill/>
            </a:ln>
          </c:spPr>
          <c:xVal>
            <c:numRef>
              <c:f>'conv and rate'!$V$2:$AA$2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rate'!$BO$13:$BT$13</c:f>
              <c:numCache>
                <c:formatCode>General</c:formatCode>
                <c:ptCount val="6"/>
                <c:pt idx="0">
                  <c:v>0.33024160135737723</c:v>
                </c:pt>
                <c:pt idx="1">
                  <c:v>0.26292253195794796</c:v>
                </c:pt>
                <c:pt idx="2">
                  <c:v>0.40005339302044202</c:v>
                </c:pt>
                <c:pt idx="3">
                  <c:v>0.27200017711005764</c:v>
                </c:pt>
                <c:pt idx="4">
                  <c:v>0.27239579895520649</c:v>
                </c:pt>
                <c:pt idx="5">
                  <c:v>0.32077977981165123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74-465B-8F1C-07D6EDFF1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3824"/>
        <c:axId val="87887232"/>
      </c:scatterChart>
      <c:valAx>
        <c:axId val="8753382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47308080808083"/>
              <c:y val="0.915843055555567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7887232"/>
        <c:crosses val="autoZero"/>
        <c:crossBetween val="midCat"/>
      </c:valAx>
      <c:valAx>
        <c:axId val="878872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</a:t>
                </a:r>
                <a:r>
                  <a:rPr lang="en-GB" b="0" baseline="0"/>
                  <a:t> production </a:t>
                </a:r>
                <a:r>
                  <a:rPr lang="en-GB" b="0"/>
                  <a:t>rate</a:t>
                </a:r>
              </a:p>
              <a:p>
                <a:pPr>
                  <a:defRPr b="0"/>
                </a:pPr>
                <a:r>
                  <a:rPr lang="en-GB" b="0"/>
                  <a:t>(mmol /min /g /m</a:t>
                </a:r>
                <a:r>
                  <a:rPr lang="en-GB" b="0" baseline="30000"/>
                  <a:t>2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8776294752079738E-2"/>
              <c:y val="0.158381124819294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7533824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7394090909091865"/>
          <c:y val="0.10970888888888899"/>
          <c:w val="0.55699570707071822"/>
          <c:h val="0.2094298942245954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/m</a:t>
            </a:r>
            <a:r>
              <a:rPr lang="en-GB" sz="1200" b="0" baseline="30000"/>
              <a:t>2</a:t>
            </a:r>
            <a:r>
              <a:rPr lang="en-GB" sz="1200" b="0"/>
              <a:t>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</a:t>
            </a:r>
          </a:p>
        </c:rich>
      </c:tx>
      <c:layout>
        <c:manualLayout>
          <c:xMode val="edge"/>
          <c:yMode val="edge"/>
          <c:x val="0.27316333059043413"/>
          <c:y val="1.27608333333335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288958333333341"/>
          <c:y val="8.0490909090909127E-2"/>
          <c:w val="0.76830370370370371"/>
          <c:h val="0.76026262626262631"/>
        </c:manualLayout>
      </c:layout>
      <c:scatterChart>
        <c:scatterStyle val="lineMarker"/>
        <c:varyColors val="0"/>
        <c:ser>
          <c:idx val="2"/>
          <c:order val="0"/>
          <c:tx>
            <c:v>450 C</c:v>
          </c:tx>
          <c:spPr>
            <a:ln w="28575">
              <a:noFill/>
            </a:ln>
          </c:spPr>
          <c:xVal>
            <c:numRef>
              <c:f>'conv and rate'!$V$2:$AA$2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rate'!$BO$13:$BT$13</c:f>
              <c:numCache>
                <c:formatCode>General</c:formatCode>
                <c:ptCount val="6"/>
                <c:pt idx="0">
                  <c:v>0.33024160135737723</c:v>
                </c:pt>
                <c:pt idx="1">
                  <c:v>0.26292253195794796</c:v>
                </c:pt>
                <c:pt idx="2">
                  <c:v>0.40005339302044202</c:v>
                </c:pt>
                <c:pt idx="3">
                  <c:v>0.27200017711005764</c:v>
                </c:pt>
                <c:pt idx="4">
                  <c:v>0.27239579895520649</c:v>
                </c:pt>
                <c:pt idx="5">
                  <c:v>0.32077977981165123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1F-46EA-A3A4-4426D858F9FF}"/>
            </c:ext>
          </c:extLst>
        </c:ser>
        <c:ser>
          <c:idx val="3"/>
          <c:order val="1"/>
          <c:tx>
            <c:v>425 C</c:v>
          </c:tx>
          <c:spPr>
            <a:ln w="28575">
              <a:noFill/>
            </a:ln>
          </c:spPr>
          <c:xVal>
            <c:numRef>
              <c:f>'conv and rate'!$V$2:$AA$2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rate'!$BO$12:$BT$12</c:f>
              <c:numCache>
                <c:formatCode>General</c:formatCode>
                <c:ptCount val="6"/>
                <c:pt idx="0">
                  <c:v>0.13760791646937032</c:v>
                </c:pt>
                <c:pt idx="1">
                  <c:v>0.167955744893657</c:v>
                </c:pt>
                <c:pt idx="2">
                  <c:v>0.15582582987199389</c:v>
                </c:pt>
                <c:pt idx="3">
                  <c:v>0.15173330766823834</c:v>
                </c:pt>
                <c:pt idx="4">
                  <c:v>0.11723131144272084</c:v>
                </c:pt>
                <c:pt idx="5">
                  <c:v>0.16813048972382333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1F-46EA-A3A4-4426D858F9FF}"/>
            </c:ext>
          </c:extLst>
        </c:ser>
        <c:ser>
          <c:idx val="1"/>
          <c:order val="2"/>
          <c:tx>
            <c:v>400 C</c:v>
          </c:tx>
          <c:spPr>
            <a:ln w="28575">
              <a:noFill/>
            </a:ln>
          </c:spPr>
          <c:xVal>
            <c:numRef>
              <c:f>'conv and rate'!$V$2:$AA$2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rate'!$BO$10:$BT$10</c:f>
              <c:numCache>
                <c:formatCode>General</c:formatCode>
                <c:ptCount val="6"/>
                <c:pt idx="0">
                  <c:v>7.4187770463968405E-2</c:v>
                </c:pt>
                <c:pt idx="1">
                  <c:v>0.10942781775212261</c:v>
                </c:pt>
                <c:pt idx="2">
                  <c:v>8.8444252224300746E-2</c:v>
                </c:pt>
                <c:pt idx="3">
                  <c:v>6.7101003293225991E-2</c:v>
                </c:pt>
                <c:pt idx="4">
                  <c:v>6.1513643488715394E-2</c:v>
                </c:pt>
                <c:pt idx="5">
                  <c:v>7.5996703696170592E-2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1F-46EA-A3A4-4426D858F9FF}"/>
            </c:ext>
          </c:extLst>
        </c:ser>
        <c:ser>
          <c:idx val="0"/>
          <c:order val="3"/>
          <c:tx>
            <c:v>375 C</c:v>
          </c:tx>
          <c:spPr>
            <a:ln w="28575">
              <a:noFill/>
            </a:ln>
          </c:spPr>
          <c:xVal>
            <c:numRef>
              <c:f>'conv and rate'!$V$2:$AA$2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16.600000000000001</c:v>
                </c:pt>
                <c:pt idx="2">
                  <c:v>18.3</c:v>
                </c:pt>
                <c:pt idx="3">
                  <c:v>27.8</c:v>
                </c:pt>
                <c:pt idx="4">
                  <c:v>38.9</c:v>
                </c:pt>
                <c:pt idx="5">
                  <c:v>44.7</c:v>
                </c:pt>
              </c:numCache>
            </c:numRef>
          </c:xVal>
          <c:yVal>
            <c:numRef>
              <c:f>'conv and rate'!$BO$8:$BT$8</c:f>
              <c:numCache>
                <c:formatCode>General</c:formatCode>
                <c:ptCount val="6"/>
                <c:pt idx="0">
                  <c:v>3.466960231255907E-2</c:v>
                </c:pt>
                <c:pt idx="1">
                  <c:v>4.6388855763522072E-2</c:v>
                </c:pt>
                <c:pt idx="2">
                  <c:v>4.1309899354063401E-2</c:v>
                </c:pt>
                <c:pt idx="3">
                  <c:v>3.6967624779728037E-2</c:v>
                </c:pt>
                <c:pt idx="4">
                  <c:v>4.1202937895171862E-2</c:v>
                </c:pt>
                <c:pt idx="5">
                  <c:v>3.0461619998843375E-2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1F-46EA-A3A4-4426D858F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501312"/>
        <c:axId val="87713280"/>
      </c:scatterChart>
      <c:valAx>
        <c:axId val="325501312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Particle size (nm)</a:t>
                </a:r>
              </a:p>
            </c:rich>
          </c:tx>
          <c:layout>
            <c:manualLayout>
              <c:xMode val="edge"/>
              <c:yMode val="edge"/>
              <c:x val="0.40473078703703702"/>
              <c:y val="0.92546439393939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7713280"/>
        <c:crosses val="autoZero"/>
        <c:crossBetween val="midCat"/>
        <c:majorUnit val="10"/>
      </c:valAx>
      <c:valAx>
        <c:axId val="87713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Acetone production rate</a:t>
                </a:r>
              </a:p>
              <a:p>
                <a:pPr>
                  <a:defRPr b="0"/>
                </a:pPr>
                <a:r>
                  <a:rPr lang="en-GB" b="0"/>
                  <a:t>(mmol /min /g /m</a:t>
                </a:r>
                <a:r>
                  <a:rPr lang="en-GB" b="0" baseline="30000"/>
                  <a:t>2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2.7409090909091302E-3"/>
              <c:y val="0.16543666666666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325501312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2532272727272729"/>
          <c:y val="0.11323666666666669"/>
          <c:w val="0.21844218624767145"/>
          <c:h val="0.2835133333333332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/>
              <a:t>Rate /g vs Fe</a:t>
            </a:r>
            <a:r>
              <a:rPr lang="en-GB" sz="1200" b="0" baseline="-25000"/>
              <a:t>3</a:t>
            </a:r>
            <a:r>
              <a:rPr lang="en-GB" sz="1200" b="0"/>
              <a:t>O</a:t>
            </a:r>
            <a:r>
              <a:rPr lang="en-GB" sz="1200" b="0" baseline="-25000"/>
              <a:t>4</a:t>
            </a:r>
            <a:r>
              <a:rPr lang="en-GB" sz="1200" b="0"/>
              <a:t> particle size at 400 </a:t>
            </a:r>
            <a:r>
              <a:rPr lang="en-GB" sz="1200" b="0" baseline="30000"/>
              <a:t>o</a:t>
            </a:r>
            <a:r>
              <a:rPr lang="en-GB" sz="1200" b="0"/>
              <a:t>C</a:t>
            </a:r>
          </a:p>
        </c:rich>
      </c:tx>
      <c:layout>
        <c:manualLayout>
          <c:xMode val="edge"/>
          <c:yMode val="edge"/>
          <c:x val="0.18700611111111273"/>
          <c:y val="1.452472222222222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398810547507594"/>
          <c:y val="9.3319139828551459E-2"/>
          <c:w val="0.75720525348372414"/>
          <c:h val="0.73139888888890003"/>
        </c:manualLayout>
      </c:layout>
      <c:scatterChart>
        <c:scatterStyle val="lineMarker"/>
        <c:varyColors val="0"/>
        <c:ser>
          <c:idx val="0"/>
          <c:order val="0"/>
          <c:tx>
            <c:v>Fe3O4/SiO2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'conv and rate'!$U$2:$AA$2</c:f>
              <c:numCache>
                <c:formatCode>General</c:formatCode>
                <c:ptCount val="7"/>
                <c:pt idx="0">
                  <c:v>6.3</c:v>
                </c:pt>
                <c:pt idx="1">
                  <c:v>9.6999999999999993</c:v>
                </c:pt>
                <c:pt idx="2">
                  <c:v>16.600000000000001</c:v>
                </c:pt>
                <c:pt idx="3">
                  <c:v>18.3</c:v>
                </c:pt>
                <c:pt idx="4">
                  <c:v>27.8</c:v>
                </c:pt>
                <c:pt idx="5">
                  <c:v>38.9</c:v>
                </c:pt>
                <c:pt idx="6">
                  <c:v>44.7</c:v>
                </c:pt>
              </c:numCache>
            </c:numRef>
          </c:xVal>
          <c:yVal>
            <c:numRef>
              <c:f>'conv and rate'!$U$10:$AA$10</c:f>
              <c:numCache>
                <c:formatCode>General</c:formatCode>
                <c:ptCount val="7"/>
                <c:pt idx="0">
                  <c:v>29.750507687844497</c:v>
                </c:pt>
                <c:pt idx="1">
                  <c:v>26.886145404663925</c:v>
                </c:pt>
                <c:pt idx="2">
                  <c:v>14.312132103974582</c:v>
                </c:pt>
                <c:pt idx="3">
                  <c:v>17.189488159179938</c:v>
                </c:pt>
                <c:pt idx="4">
                  <c:v>9.0854308626523874</c:v>
                </c:pt>
                <c:pt idx="5">
                  <c:v>6.9444444444444402</c:v>
                </c:pt>
                <c:pt idx="6">
                  <c:v>3.4988905956647938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7E-48A6-B395-67B17A3C6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21088"/>
        <c:axId val="87723392"/>
      </c:scatterChart>
      <c:valAx>
        <c:axId val="8772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 Particle size (nm)</a:t>
                </a:r>
              </a:p>
            </c:rich>
          </c:tx>
          <c:layout>
            <c:manualLayout>
              <c:xMode val="edge"/>
              <c:yMode val="edge"/>
              <c:x val="0.36239750000000032"/>
              <c:y val="0.9158430555555608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7723392"/>
        <c:crosses val="autoZero"/>
        <c:crossBetween val="midCat"/>
        <c:majorUnit val="10"/>
      </c:valAx>
      <c:valAx>
        <c:axId val="87723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Acetic acid reaction rate</a:t>
                </a:r>
              </a:p>
              <a:p>
                <a:pPr>
                  <a:defRPr b="0"/>
                </a:pPr>
                <a:r>
                  <a:rPr lang="en-GB" b="0"/>
                  <a:t>(mmol /min /g Fe</a:t>
                </a:r>
                <a:r>
                  <a:rPr lang="en-GB" b="0" baseline="-25000"/>
                  <a:t>3</a:t>
                </a:r>
                <a:r>
                  <a:rPr lang="en-GB" b="0"/>
                  <a:t>O</a:t>
                </a:r>
                <a:r>
                  <a:rPr lang="en-GB" b="0" baseline="-25000"/>
                  <a:t>4</a:t>
                </a:r>
                <a:r>
                  <a:rPr lang="en-GB" b="0"/>
                  <a:t>)</a:t>
                </a:r>
              </a:p>
            </c:rich>
          </c:tx>
          <c:layout>
            <c:manualLayout>
              <c:xMode val="edge"/>
              <c:yMode val="edge"/>
              <c:x val="1.1374999999999988E-3"/>
              <c:y val="0.221293055555555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87721088"/>
        <c:crosses val="autoZero"/>
        <c:crossBetween val="midCat"/>
      </c:valAx>
      <c:spPr>
        <a:ln w="127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43157027777778301"/>
          <c:y val="0.10970888888888899"/>
          <c:w val="0.50754166666666667"/>
          <c:h val="0.1762675925925957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42777777777791"/>
          <c:y val="6.1983888888888887E-2"/>
          <c:w val="0.79658555555555555"/>
          <c:h val="0.790952901720599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'conv and rate'!$U$3</c:f>
              <c:strCache>
                <c:ptCount val="1"/>
                <c:pt idx="0">
                  <c:v>Fe3O4/SiO2 (6.3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rate'!$U$5:$U$13</c:f>
              <c:numCache>
                <c:formatCode>General</c:formatCode>
                <c:ptCount val="9"/>
                <c:pt idx="0">
                  <c:v>0.68537859007832569</c:v>
                </c:pt>
                <c:pt idx="1">
                  <c:v>4.4930374238468218</c:v>
                </c:pt>
                <c:pt idx="2">
                  <c:v>8.8718450826805864</c:v>
                </c:pt>
                <c:pt idx="3">
                  <c:v>16.677545691905994</c:v>
                </c:pt>
                <c:pt idx="4">
                  <c:v>24.102480417754574</c:v>
                </c:pt>
                <c:pt idx="5">
                  <c:v>29.750507687844497</c:v>
                </c:pt>
                <c:pt idx="6">
                  <c:v>41.427328111401216</c:v>
                </c:pt>
                <c:pt idx="7">
                  <c:v>57.80026109660573</c:v>
                </c:pt>
                <c:pt idx="8">
                  <c:v>83.768494342906877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BB-43A1-AA99-7B9DA0D5C68B}"/>
            </c:ext>
          </c:extLst>
        </c:ser>
        <c:ser>
          <c:idx val="1"/>
          <c:order val="1"/>
          <c:tx>
            <c:strRef>
              <c:f>'conv and rate'!$V$3</c:f>
              <c:strCache>
                <c:ptCount val="1"/>
                <c:pt idx="0">
                  <c:v>Fe3O4/SiO2 (9.7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rate'!$V$5:$V$13</c:f>
              <c:numCache>
                <c:formatCode>General</c:formatCode>
                <c:ptCount val="9"/>
                <c:pt idx="0">
                  <c:v>0.87615587455747634</c:v>
                </c:pt>
                <c:pt idx="1">
                  <c:v>1.9204389574760041</c:v>
                </c:pt>
                <c:pt idx="2">
                  <c:v>4.8010973936899912</c:v>
                </c:pt>
                <c:pt idx="3">
                  <c:v>13.05898491083677</c:v>
                </c:pt>
                <c:pt idx="4">
                  <c:v>19.780521262002754</c:v>
                </c:pt>
                <c:pt idx="5">
                  <c:v>26.886145404663925</c:v>
                </c:pt>
                <c:pt idx="6">
                  <c:v>34.74074074074074</c:v>
                </c:pt>
                <c:pt idx="7">
                  <c:v>51.419753086419753</c:v>
                </c:pt>
                <c:pt idx="8">
                  <c:v>79.726543209876553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BB-43A1-AA99-7B9DA0D5C68B}"/>
            </c:ext>
          </c:extLst>
        </c:ser>
        <c:ser>
          <c:idx val="2"/>
          <c:order val="2"/>
          <c:tx>
            <c:strRef>
              <c:f>'conv and rate'!$W$3</c:f>
              <c:strCache>
                <c:ptCount val="1"/>
                <c:pt idx="0">
                  <c:v>Fe3O4/SiO2 (16.6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rate'!$W$5:$W$13</c:f>
              <c:numCache>
                <c:formatCode>General</c:formatCode>
                <c:ptCount val="9"/>
                <c:pt idx="0">
                  <c:v>0.60013717421125401</c:v>
                </c:pt>
                <c:pt idx="1">
                  <c:v>1.3218211178830068</c:v>
                </c:pt>
                <c:pt idx="2">
                  <c:v>2.2334218888368</c:v>
                </c:pt>
                <c:pt idx="3">
                  <c:v>5.3100744908058592</c:v>
                </c:pt>
                <c:pt idx="4">
                  <c:v>10.209928634682502</c:v>
                </c:pt>
                <c:pt idx="5">
                  <c:v>14.312132103974582</c:v>
                </c:pt>
                <c:pt idx="6">
                  <c:v>23.496509871334062</c:v>
                </c:pt>
                <c:pt idx="7">
                  <c:v>34.825998202844204</c:v>
                </c:pt>
                <c:pt idx="8">
                  <c:v>39.51789342084701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BB-43A1-AA99-7B9DA0D5C68B}"/>
            </c:ext>
          </c:extLst>
        </c:ser>
        <c:ser>
          <c:idx val="3"/>
          <c:order val="3"/>
          <c:tx>
            <c:strRef>
              <c:f>'conv and rate'!$X$3</c:f>
              <c:strCache>
                <c:ptCount val="1"/>
                <c:pt idx="0">
                  <c:v>Fe3O4/SiO2 (18.3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rate'!$X$5:$X$13</c:f>
              <c:numCache>
                <c:formatCode>General</c:formatCode>
                <c:ptCount val="9"/>
                <c:pt idx="0">
                  <c:v>0</c:v>
                </c:pt>
                <c:pt idx="1">
                  <c:v>2.1851807201030757</c:v>
                </c:pt>
                <c:pt idx="2">
                  <c:v>3.350563822167298</c:v>
                </c:pt>
                <c:pt idx="3">
                  <c:v>11.362572648858828</c:v>
                </c:pt>
                <c:pt idx="4">
                  <c:v>14.858721955051493</c:v>
                </c:pt>
                <c:pt idx="5">
                  <c:v>17.189488159179938</c:v>
                </c:pt>
                <c:pt idx="6">
                  <c:v>23.49712419910254</c:v>
                </c:pt>
                <c:pt idx="7">
                  <c:v>33.679659053388676</c:v>
                </c:pt>
                <c:pt idx="8">
                  <c:v>49.732811284323333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BB-43A1-AA99-7B9DA0D5C68B}"/>
            </c:ext>
          </c:extLst>
        </c:ser>
        <c:ser>
          <c:idx val="6"/>
          <c:order val="4"/>
          <c:tx>
            <c:strRef>
              <c:f>'conv and rate'!$Y$3</c:f>
              <c:strCache>
                <c:ptCount val="1"/>
                <c:pt idx="0">
                  <c:v>Fe3O4/SiO2 (27.8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rate'!$Y$5:$Y$13</c:f>
              <c:numCache>
                <c:formatCode>General</c:formatCode>
                <c:ptCount val="9"/>
                <c:pt idx="0">
                  <c:v>0</c:v>
                </c:pt>
                <c:pt idx="1">
                  <c:v>1.2167987762480903</c:v>
                </c:pt>
                <c:pt idx="2">
                  <c:v>2.2713577156630946</c:v>
                </c:pt>
                <c:pt idx="3">
                  <c:v>4.7455152273675418</c:v>
                </c:pt>
                <c:pt idx="4">
                  <c:v>7.1385528206554492</c:v>
                </c:pt>
                <c:pt idx="5">
                  <c:v>9.0854308626523874</c:v>
                </c:pt>
                <c:pt idx="6">
                  <c:v>11.032308904649332</c:v>
                </c:pt>
                <c:pt idx="7">
                  <c:v>17.684142214805544</c:v>
                </c:pt>
                <c:pt idx="8">
                  <c:v>35.238492560144621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BB-43A1-AA99-7B9DA0D5C68B}"/>
            </c:ext>
          </c:extLst>
        </c:ser>
        <c:ser>
          <c:idx val="5"/>
          <c:order val="5"/>
          <c:tx>
            <c:strRef>
              <c:f>'conv and rate'!$Z$3</c:f>
              <c:strCache>
                <c:ptCount val="1"/>
                <c:pt idx="0">
                  <c:v>Fe3O4/SiO2 (38.9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rate'!$Z$5:$Z$13</c:f>
              <c:numCache>
                <c:formatCode>General</c:formatCode>
                <c:ptCount val="9"/>
                <c:pt idx="0">
                  <c:v>0</c:v>
                </c:pt>
                <c:pt idx="1">
                  <c:v>0.65104166666666075</c:v>
                </c:pt>
                <c:pt idx="2">
                  <c:v>0.43402777777776785</c:v>
                </c:pt>
                <c:pt idx="3">
                  <c:v>5.3530092592592649</c:v>
                </c:pt>
                <c:pt idx="4">
                  <c:v>6.7997685185185217</c:v>
                </c:pt>
                <c:pt idx="5">
                  <c:v>6.9444444444444402</c:v>
                </c:pt>
                <c:pt idx="6">
                  <c:v>9.1145833333333304</c:v>
                </c:pt>
                <c:pt idx="7">
                  <c:v>17.216435185185183</c:v>
                </c:pt>
                <c:pt idx="8">
                  <c:v>25.976562499999993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BB-43A1-AA99-7B9DA0D5C68B}"/>
            </c:ext>
          </c:extLst>
        </c:ser>
        <c:ser>
          <c:idx val="4"/>
          <c:order val="6"/>
          <c:tx>
            <c:strRef>
              <c:f>'conv and rate'!$AA$3</c:f>
              <c:strCache>
                <c:ptCount val="1"/>
                <c:pt idx="0">
                  <c:v>Fe3O4/SiO2 (44.7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rate'!$T$5:$T$13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rate'!$AA$5:$AA$13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1.1520737327188968</c:v>
                </c:pt>
                <c:pt idx="3">
                  <c:v>1.7921146953405058</c:v>
                </c:pt>
                <c:pt idx="4">
                  <c:v>3.4988905956647898</c:v>
                </c:pt>
                <c:pt idx="5">
                  <c:v>3.4988905956647938</c:v>
                </c:pt>
                <c:pt idx="6">
                  <c:v>4.7789725209080007</c:v>
                </c:pt>
                <c:pt idx="7">
                  <c:v>10.219320703191672</c:v>
                </c:pt>
                <c:pt idx="8">
                  <c:v>16.854412015702341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5BB-43A1-AA99-7B9DA0D5C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07328"/>
        <c:axId val="87921792"/>
      </c:scatterChart>
      <c:valAx>
        <c:axId val="87907328"/>
        <c:scaling>
          <c:orientation val="minMax"/>
          <c:max val="45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(oC)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921792"/>
        <c:crosses val="autoZero"/>
        <c:crossBetween val="midCat"/>
      </c:valAx>
      <c:valAx>
        <c:axId val="87921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acetica acid</a:t>
                </a:r>
                <a:r>
                  <a:rPr lang="en-GB" baseline="0"/>
                  <a:t> </a:t>
                </a:r>
                <a:r>
                  <a:rPr lang="en-GB"/>
                  <a:t>rate (mmol /min /g Fe3O4)</a:t>
                </a:r>
              </a:p>
            </c:rich>
          </c:tx>
          <c:layout>
            <c:manualLayout>
              <c:xMode val="edge"/>
              <c:yMode val="edge"/>
              <c:x val="1.7193572147355101E-2"/>
              <c:y val="6.764071157771944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7907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229472222222261"/>
          <c:y val="5.2027777777777784E-2"/>
          <c:w val="0.42020888888888991"/>
          <c:h val="0.51455444593815958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08222653072889"/>
          <c:y val="5.1400632968372384E-2"/>
          <c:w val="0.83186332617513725"/>
          <c:h val="0.790952901720599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'conv and rate'!$AD$3</c:f>
              <c:strCache>
                <c:ptCount val="1"/>
                <c:pt idx="0">
                  <c:v>Fe3O4/SiO2 (6.3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rate'!$AD$5:$AD$13</c:f>
              <c:numCache>
                <c:formatCode>General</c:formatCode>
                <c:ptCount val="9"/>
                <c:pt idx="0">
                  <c:v>3.7248836417300311E-3</c:v>
                </c:pt>
                <c:pt idx="1">
                  <c:v>2.4418681651341423E-2</c:v>
                </c:pt>
                <c:pt idx="2">
                  <c:v>4.8216549362394494E-2</c:v>
                </c:pt>
                <c:pt idx="3">
                  <c:v>9.0638835282097791E-2</c:v>
                </c:pt>
                <c:pt idx="4">
                  <c:v>0.13099174140084008</c:v>
                </c:pt>
                <c:pt idx="5">
                  <c:v>0.16168754178176356</c:v>
                </c:pt>
                <c:pt idx="6">
                  <c:v>0.22514852234457183</c:v>
                </c:pt>
                <c:pt idx="7">
                  <c:v>0.31413185378590069</c:v>
                </c:pt>
                <c:pt idx="8">
                  <c:v>0.45526355621145043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97-476E-A775-7BEFD7E3C343}"/>
            </c:ext>
          </c:extLst>
        </c:ser>
        <c:ser>
          <c:idx val="1"/>
          <c:order val="1"/>
          <c:tx>
            <c:strRef>
              <c:f>'conv and rate'!$AE$3</c:f>
              <c:strCache>
                <c:ptCount val="1"/>
                <c:pt idx="0">
                  <c:v>Fe3O4/SiO2 (9.7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rate'!$AE$5:$AE$13</c:f>
              <c:numCache>
                <c:formatCode>General</c:formatCode>
                <c:ptCount val="9"/>
                <c:pt idx="0">
                  <c:v>7.3318483226567062E-3</c:v>
                </c:pt>
                <c:pt idx="1">
                  <c:v>1.6070618891012588E-2</c:v>
                </c:pt>
                <c:pt idx="2">
                  <c:v>4.0176547227531306E-2</c:v>
                </c:pt>
                <c:pt idx="3">
                  <c:v>0.1092802084588851</c:v>
                </c:pt>
                <c:pt idx="4">
                  <c:v>0.16552737457742892</c:v>
                </c:pt>
                <c:pt idx="5">
                  <c:v>0.22498866447417509</c:v>
                </c:pt>
                <c:pt idx="6">
                  <c:v>0.29071749573841627</c:v>
                </c:pt>
                <c:pt idx="7">
                  <c:v>0.43029082080685987</c:v>
                </c:pt>
                <c:pt idx="8">
                  <c:v>0.66716772560566151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97-476E-A775-7BEFD7E3C343}"/>
            </c:ext>
          </c:extLst>
        </c:ser>
        <c:ser>
          <c:idx val="2"/>
          <c:order val="2"/>
          <c:tx>
            <c:strRef>
              <c:f>'conv and rate'!$AF$3</c:f>
              <c:strCache>
                <c:ptCount val="1"/>
                <c:pt idx="0">
                  <c:v>Fe3O4/SiO2 (16.6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rate'!$AF$5:$AF$13</c:f>
              <c:numCache>
                <c:formatCode>General</c:formatCode>
                <c:ptCount val="9"/>
                <c:pt idx="0">
                  <c:v>8.5979537852615192E-3</c:v>
                </c:pt>
                <c:pt idx="1">
                  <c:v>1.8937265299183478E-2</c:v>
                </c:pt>
                <c:pt idx="2">
                  <c:v>3.1997448264137536E-2</c:v>
                </c:pt>
                <c:pt idx="3">
                  <c:v>7.6075565770857584E-2</c:v>
                </c:pt>
                <c:pt idx="4">
                  <c:v>0.14627404920748571</c:v>
                </c:pt>
                <c:pt idx="5">
                  <c:v>0.20504487254977913</c:v>
                </c:pt>
                <c:pt idx="6">
                  <c:v>0.33662621592169145</c:v>
                </c:pt>
                <c:pt idx="7">
                  <c:v>0.49893980233301155</c:v>
                </c:pt>
                <c:pt idx="8">
                  <c:v>0.56615893153075947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97-476E-A775-7BEFD7E3C343}"/>
            </c:ext>
          </c:extLst>
        </c:ser>
        <c:ser>
          <c:idx val="3"/>
          <c:order val="3"/>
          <c:tx>
            <c:strRef>
              <c:f>'conv and rate'!$AG$3</c:f>
              <c:strCache>
                <c:ptCount val="1"/>
                <c:pt idx="0">
                  <c:v>Fe3O4/SiO2 (18.3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rate'!$AG$5:$AG$13</c:f>
              <c:numCache>
                <c:formatCode>General</c:formatCode>
                <c:ptCount val="9"/>
                <c:pt idx="0">
                  <c:v>0</c:v>
                </c:pt>
                <c:pt idx="1">
                  <c:v>3.4466572872288263E-2</c:v>
                </c:pt>
                <c:pt idx="2">
                  <c:v>5.2848009813364322E-2</c:v>
                </c:pt>
                <c:pt idx="3">
                  <c:v>0.17922038878326227</c:v>
                </c:pt>
                <c:pt idx="4">
                  <c:v>0.23436469960649042</c:v>
                </c:pt>
                <c:pt idx="5">
                  <c:v>0.27112757348864258</c:v>
                </c:pt>
                <c:pt idx="6">
                  <c:v>0.37061710093221673</c:v>
                </c:pt>
                <c:pt idx="7">
                  <c:v>0.53122490620486873</c:v>
                </c:pt>
                <c:pt idx="8">
                  <c:v>0.78442920006819139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97-476E-A775-7BEFD7E3C343}"/>
            </c:ext>
          </c:extLst>
        </c:ser>
        <c:ser>
          <c:idx val="6"/>
          <c:order val="4"/>
          <c:tx>
            <c:strRef>
              <c:f>'conv and rate'!$AH$3</c:f>
              <c:strCache>
                <c:ptCount val="1"/>
                <c:pt idx="0">
                  <c:v>Fe3O4/SiO2 (27.8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rate'!$AH$5:$AH$13</c:f>
              <c:numCache>
                <c:formatCode>General</c:formatCode>
                <c:ptCount val="9"/>
                <c:pt idx="0">
                  <c:v>0</c:v>
                </c:pt>
                <c:pt idx="1">
                  <c:v>2.9179826768539335E-2</c:v>
                </c:pt>
                <c:pt idx="2">
                  <c:v>5.4469009967939915E-2</c:v>
                </c:pt>
                <c:pt idx="3">
                  <c:v>0.11380132439730316</c:v>
                </c:pt>
                <c:pt idx="4">
                  <c:v>0.17118831704209708</c:v>
                </c:pt>
                <c:pt idx="5">
                  <c:v>0.21787603987175988</c:v>
                </c:pt>
                <c:pt idx="6">
                  <c:v>0.26456376270142279</c:v>
                </c:pt>
                <c:pt idx="7">
                  <c:v>0.42408014903610414</c:v>
                </c:pt>
                <c:pt idx="8">
                  <c:v>0.84504778321689733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E97-476E-A775-7BEFD7E3C343}"/>
            </c:ext>
          </c:extLst>
        </c:ser>
        <c:ser>
          <c:idx val="5"/>
          <c:order val="5"/>
          <c:tx>
            <c:strRef>
              <c:f>'conv and rate'!$AI$3</c:f>
              <c:strCache>
                <c:ptCount val="1"/>
                <c:pt idx="0">
                  <c:v>Fe3O4/SiO2 (38.9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rate'!$AI$5:$AI$13</c:f>
              <c:numCache>
                <c:formatCode>General</c:formatCode>
                <c:ptCount val="9"/>
                <c:pt idx="0">
                  <c:v>0</c:v>
                </c:pt>
                <c:pt idx="1">
                  <c:v>2.1847035794183248E-2</c:v>
                </c:pt>
                <c:pt idx="2">
                  <c:v>1.4564690529455297E-2</c:v>
                </c:pt>
                <c:pt idx="3">
                  <c:v>0.17963118319661961</c:v>
                </c:pt>
                <c:pt idx="4">
                  <c:v>0.22818015162813832</c:v>
                </c:pt>
                <c:pt idx="5">
                  <c:v>0.23303504847128995</c:v>
                </c:pt>
                <c:pt idx="6">
                  <c:v>0.3058585011185681</c:v>
                </c:pt>
                <c:pt idx="7">
                  <c:v>0.57773272433507328</c:v>
                </c:pt>
                <c:pt idx="8">
                  <c:v>0.87169672818791921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97-476E-A775-7BEFD7E3C343}"/>
            </c:ext>
          </c:extLst>
        </c:ser>
        <c:ser>
          <c:idx val="4"/>
          <c:order val="6"/>
          <c:tx>
            <c:strRef>
              <c:f>'conv and rate'!$AJ$3</c:f>
              <c:strCache>
                <c:ptCount val="1"/>
                <c:pt idx="0">
                  <c:v>Fe3O4/SiO2 (44.7 nm)</c:v>
                </c:pt>
              </c:strCache>
            </c:strRef>
          </c:tx>
          <c:spPr>
            <a:ln w="28575">
              <a:noFill/>
            </a:ln>
          </c:spPr>
          <c:xVal>
            <c:numRef>
              <c:f>'conv and rate'!$AC$5:$AC$13</c:f>
              <c:numCache>
                <c:formatCode>General</c:formatCode>
                <c:ptCount val="9"/>
                <c:pt idx="0">
                  <c:v>300</c:v>
                </c:pt>
                <c:pt idx="1">
                  <c:v>325</c:v>
                </c:pt>
                <c:pt idx="2">
                  <c:v>350</c:v>
                </c:pt>
                <c:pt idx="3">
                  <c:v>375</c:v>
                </c:pt>
                <c:pt idx="4">
                  <c:v>390</c:v>
                </c:pt>
                <c:pt idx="5">
                  <c:v>400</c:v>
                </c:pt>
                <c:pt idx="6">
                  <c:v>410</c:v>
                </c:pt>
                <c:pt idx="7">
                  <c:v>425</c:v>
                </c:pt>
                <c:pt idx="8">
                  <c:v>450</c:v>
                </c:pt>
              </c:numCache>
            </c:numRef>
          </c:xVal>
          <c:yVal>
            <c:numRef>
              <c:f>'conv and rate'!$AJ$5:$AJ$13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4.4481611301887908E-2</c:v>
                </c:pt>
                <c:pt idx="3">
                  <c:v>6.9193617580714517E-2</c:v>
                </c:pt>
                <c:pt idx="4">
                  <c:v>0.13509230099091854</c:v>
                </c:pt>
                <c:pt idx="5">
                  <c:v>0.13509230099091868</c:v>
                </c:pt>
                <c:pt idx="6">
                  <c:v>0.18451631354857145</c:v>
                </c:pt>
                <c:pt idx="7">
                  <c:v>0.39456836691859737</c:v>
                </c:pt>
                <c:pt idx="8">
                  <c:v>0.65074949867576604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E97-476E-A775-7BEFD7E3C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71328"/>
        <c:axId val="87973248"/>
      </c:scatterChart>
      <c:valAx>
        <c:axId val="87971328"/>
        <c:scaling>
          <c:orientation val="minMax"/>
          <c:max val="45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 (</a:t>
                </a:r>
                <a:r>
                  <a:rPr lang="en-GB" baseline="30000"/>
                  <a:t>o</a:t>
                </a:r>
                <a:r>
                  <a:rPr lang="en-GB"/>
                  <a:t>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973248"/>
        <c:crosses val="autoZero"/>
        <c:crossBetween val="midCat"/>
      </c:valAx>
      <c:valAx>
        <c:axId val="87973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acetica acid</a:t>
                </a:r>
                <a:r>
                  <a:rPr lang="en-GB" baseline="0"/>
                  <a:t> </a:t>
                </a:r>
                <a:r>
                  <a:rPr lang="en-GB"/>
                  <a:t>rate (mmol /min /g /m</a:t>
                </a:r>
                <a:r>
                  <a:rPr lang="en-GB" baseline="30000"/>
                  <a:t>2</a:t>
                </a:r>
                <a:r>
                  <a:rPr lang="en-GB"/>
                  <a:t>  Fe</a:t>
                </a:r>
                <a:r>
                  <a:rPr lang="en-GB" baseline="30000"/>
                  <a:t>3</a:t>
                </a:r>
                <a:r>
                  <a:rPr lang="en-GB"/>
                  <a:t>O</a:t>
                </a:r>
                <a:r>
                  <a:rPr lang="en-GB" baseline="30000"/>
                  <a:t>4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1.7193537283249429E-2"/>
              <c:y val="7.17057166634658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7971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26684164479441"/>
          <c:y val="5.5555555555555455E-2"/>
          <c:w val="0.4001513888888889"/>
          <c:h val="0.40595227272727558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1066800</xdr:colOff>
      <xdr:row>71</xdr:row>
      <xdr:rowOff>146049</xdr:rowOff>
    </xdr:from>
    <xdr:to>
      <xdr:col>27</xdr:col>
      <xdr:colOff>23363</xdr:colOff>
      <xdr:row>89</xdr:row>
      <xdr:rowOff>174174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1274763</xdr:colOff>
      <xdr:row>71</xdr:row>
      <xdr:rowOff>6350</xdr:rowOff>
    </xdr:from>
    <xdr:to>
      <xdr:col>23</xdr:col>
      <xdr:colOff>707575</xdr:colOff>
      <xdr:row>89</xdr:row>
      <xdr:rowOff>34475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179</xdr:col>
      <xdr:colOff>201386</xdr:colOff>
      <xdr:row>15</xdr:row>
      <xdr:rowOff>155121</xdr:rowOff>
    </xdr:from>
    <xdr:to>
      <xdr:col>186</xdr:col>
      <xdr:colOff>254186</xdr:colOff>
      <xdr:row>36</xdr:row>
      <xdr:rowOff>114621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187</xdr:col>
      <xdr:colOff>361950</xdr:colOff>
      <xdr:row>16</xdr:row>
      <xdr:rowOff>95250</xdr:rowOff>
    </xdr:from>
    <xdr:to>
      <xdr:col>194</xdr:col>
      <xdr:colOff>54750</xdr:colOff>
      <xdr:row>35</xdr:row>
      <xdr:rowOff>75750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195</xdr:col>
      <xdr:colOff>0</xdr:colOff>
      <xdr:row>17</xdr:row>
      <xdr:rowOff>0</xdr:rowOff>
    </xdr:from>
    <xdr:to>
      <xdr:col>201</xdr:col>
      <xdr:colOff>302400</xdr:colOff>
      <xdr:row>35</xdr:row>
      <xdr:rowOff>171000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234</xdr:col>
      <xdr:colOff>0</xdr:colOff>
      <xdr:row>36</xdr:row>
      <xdr:rowOff>190499</xdr:rowOff>
    </xdr:from>
    <xdr:to>
      <xdr:col>241</xdr:col>
      <xdr:colOff>52800</xdr:colOff>
      <xdr:row>57</xdr:row>
      <xdr:rowOff>35699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914398</xdr:colOff>
      <xdr:row>14</xdr:row>
      <xdr:rowOff>180975</xdr:rowOff>
    </xdr:from>
    <xdr:to>
      <xdr:col>22</xdr:col>
      <xdr:colOff>666298</xdr:colOff>
      <xdr:row>33</xdr:row>
      <xdr:rowOff>161475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857251</xdr:colOff>
      <xdr:row>14</xdr:row>
      <xdr:rowOff>152400</xdr:rowOff>
    </xdr:from>
    <xdr:to>
      <xdr:col>29</xdr:col>
      <xdr:colOff>1266376</xdr:colOff>
      <xdr:row>33</xdr:row>
      <xdr:rowOff>132900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447675</xdr:colOff>
      <xdr:row>13</xdr:row>
      <xdr:rowOff>114300</xdr:rowOff>
    </xdr:from>
    <xdr:to>
      <xdr:col>35</xdr:col>
      <xdr:colOff>1323525</xdr:colOff>
      <xdr:row>32</xdr:row>
      <xdr:rowOff>94800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371473</xdr:colOff>
      <xdr:row>14</xdr:row>
      <xdr:rowOff>47625</xdr:rowOff>
    </xdr:from>
    <xdr:to>
      <xdr:col>32</xdr:col>
      <xdr:colOff>1313998</xdr:colOff>
      <xdr:row>33</xdr:row>
      <xdr:rowOff>28125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942975</xdr:colOff>
      <xdr:row>14</xdr:row>
      <xdr:rowOff>180975</xdr:rowOff>
    </xdr:from>
    <xdr:to>
      <xdr:col>25</xdr:col>
      <xdr:colOff>456750</xdr:colOff>
      <xdr:row>33</xdr:row>
      <xdr:rowOff>161475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847724</xdr:colOff>
      <xdr:row>0</xdr:row>
      <xdr:rowOff>0</xdr:rowOff>
    </xdr:from>
    <xdr:to>
      <xdr:col>7</xdr:col>
      <xdr:colOff>304349</xdr:colOff>
      <xdr:row>18</xdr:row>
      <xdr:rowOff>171000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39</xdr:row>
      <xdr:rowOff>0</xdr:rowOff>
    </xdr:from>
    <xdr:to>
      <xdr:col>14</xdr:col>
      <xdr:colOff>466725</xdr:colOff>
      <xdr:row>53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714376</xdr:colOff>
      <xdr:row>39</xdr:row>
      <xdr:rowOff>38100</xdr:rowOff>
    </xdr:from>
    <xdr:to>
      <xdr:col>17</xdr:col>
      <xdr:colOff>548137</xdr:colOff>
      <xdr:row>53</xdr:row>
      <xdr:rowOff>114300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38100</xdr:colOff>
      <xdr:row>34</xdr:row>
      <xdr:rowOff>66675</xdr:rowOff>
    </xdr:from>
    <xdr:to>
      <xdr:col>30</xdr:col>
      <xdr:colOff>304350</xdr:colOff>
      <xdr:row>53</xdr:row>
      <xdr:rowOff>47175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1171575</xdr:colOff>
      <xdr:row>34</xdr:row>
      <xdr:rowOff>0</xdr:rowOff>
    </xdr:from>
    <xdr:to>
      <xdr:col>25</xdr:col>
      <xdr:colOff>685350</xdr:colOff>
      <xdr:row>52</xdr:row>
      <xdr:rowOff>171000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20</xdr:col>
      <xdr:colOff>0</xdr:colOff>
      <xdr:row>34</xdr:row>
      <xdr:rowOff>38100</xdr:rowOff>
    </xdr:from>
    <xdr:to>
      <xdr:col>22</xdr:col>
      <xdr:colOff>799650</xdr:colOff>
      <xdr:row>53</xdr:row>
      <xdr:rowOff>18600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68</xdr:col>
      <xdr:colOff>733965</xdr:colOff>
      <xdr:row>14</xdr:row>
      <xdr:rowOff>114120</xdr:rowOff>
    </xdr:from>
    <xdr:to>
      <xdr:col>72</xdr:col>
      <xdr:colOff>233722</xdr:colOff>
      <xdr:row>33</xdr:row>
      <xdr:rowOff>128766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37</xdr:col>
      <xdr:colOff>358176</xdr:colOff>
      <xdr:row>19</xdr:row>
      <xdr:rowOff>189242</xdr:rowOff>
    </xdr:from>
    <xdr:to>
      <xdr:col>41</xdr:col>
      <xdr:colOff>892923</xdr:colOff>
      <xdr:row>39</xdr:row>
      <xdr:rowOff>15186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42</xdr:col>
      <xdr:colOff>275506</xdr:colOff>
      <xdr:row>20</xdr:row>
      <xdr:rowOff>16353</xdr:rowOff>
    </xdr:from>
    <xdr:to>
      <xdr:col>45</xdr:col>
      <xdr:colOff>633053</xdr:colOff>
      <xdr:row>39</xdr:row>
      <xdr:rowOff>30999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</xdr:col>
      <xdr:colOff>206675</xdr:colOff>
      <xdr:row>46</xdr:row>
      <xdr:rowOff>134788</xdr:rowOff>
    </xdr:from>
    <xdr:to>
      <xdr:col>41</xdr:col>
      <xdr:colOff>733514</xdr:colOff>
      <xdr:row>65</xdr:row>
      <xdr:rowOff>149434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42</xdr:col>
      <xdr:colOff>0</xdr:colOff>
      <xdr:row>47</xdr:row>
      <xdr:rowOff>0</xdr:rowOff>
    </xdr:from>
    <xdr:to>
      <xdr:col>45</xdr:col>
      <xdr:colOff>338137</xdr:colOff>
      <xdr:row>66</xdr:row>
      <xdr:rowOff>14646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46</xdr:col>
      <xdr:colOff>805671</xdr:colOff>
      <xdr:row>26</xdr:row>
      <xdr:rowOff>88243</xdr:rowOff>
    </xdr:from>
    <xdr:to>
      <xdr:col>50</xdr:col>
      <xdr:colOff>344067</xdr:colOff>
      <xdr:row>45</xdr:row>
      <xdr:rowOff>102889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409575</xdr:colOff>
      <xdr:row>26</xdr:row>
      <xdr:rowOff>900</xdr:rowOff>
    </xdr:from>
    <xdr:to>
      <xdr:col>53</xdr:col>
      <xdr:colOff>967147</xdr:colOff>
      <xdr:row>45</xdr:row>
      <xdr:rowOff>15546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64</xdr:col>
      <xdr:colOff>47625</xdr:colOff>
      <xdr:row>14</xdr:row>
      <xdr:rowOff>38100</xdr:rowOff>
    </xdr:from>
    <xdr:to>
      <xdr:col>68</xdr:col>
      <xdr:colOff>431257</xdr:colOff>
      <xdr:row>33</xdr:row>
      <xdr:rowOff>54544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68373625" y="2624282"/>
          <a:ext cx="4089723" cy="3526262"/>
          <a:chOff x="65598675" y="2705100"/>
          <a:chExt cx="3955507" cy="3635944"/>
        </a:xfrm>
      </xdr:grpSpPr>
      <xdr:graphicFrame macro="">
        <xdr:nvGraphicFramePr>
          <xdr:cNvPr id="28" name="Chart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GraphicFramePr/>
        </xdr:nvGraphicFramePr>
        <xdr:xfrm>
          <a:off x="65598675" y="2705100"/>
          <a:ext cx="3955507" cy="36359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67208400" y="3190875"/>
            <a:ext cx="1610826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en-GB" sz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E</a:t>
            </a:r>
            <a:r>
              <a:rPr lang="en-GB" sz="1200" baseline="-250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a</a:t>
            </a:r>
            <a:r>
              <a:rPr lang="en-GB" sz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 = 107 ± 6 kJ mol</a:t>
            </a:r>
            <a:r>
              <a:rPr lang="en-GB" sz="1200" baseline="300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rPr>
              <a:t>-1</a:t>
            </a:r>
            <a:endParaRPr lang="en-GB" sz="1200" baseline="-25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  <xdr:oneCellAnchor>
    <xdr:from>
      <xdr:col>65</xdr:col>
      <xdr:colOff>219075</xdr:colOff>
      <xdr:row>13</xdr:row>
      <xdr:rowOff>66675</xdr:rowOff>
    </xdr:from>
    <xdr:ext cx="2516073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6379725" y="2543175"/>
          <a:ext cx="25160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Rate /g vs Fe</a:t>
          </a:r>
          <a:r>
            <a:rPr lang="en-GB" sz="1100" b="0" i="0" baseline="-25000">
              <a:solidFill>
                <a:schemeClr val="tx1"/>
              </a:solidFill>
              <a:latin typeface="+mn-lt"/>
              <a:ea typeface="+mn-ea"/>
              <a:cs typeface="+mn-cs"/>
            </a:rPr>
            <a:t>3</a:t>
          </a:r>
          <a:r>
            <a:rPr lang="en-GB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n-GB" sz="1100" b="0" i="0" baseline="-25000">
              <a:solidFill>
                <a:schemeClr val="tx1"/>
              </a:solidFill>
              <a:latin typeface="+mn-lt"/>
              <a:ea typeface="+mn-ea"/>
              <a:cs typeface="+mn-cs"/>
            </a:rPr>
            <a:t>4</a:t>
          </a:r>
          <a:r>
            <a:rPr lang="en-GB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vs particle size at 400 </a:t>
          </a:r>
          <a:r>
            <a:rPr lang="en-GB" sz="1100" b="0" i="0" baseline="30000">
              <a:solidFill>
                <a:schemeClr val="tx1"/>
              </a:solidFill>
              <a:latin typeface="+mn-lt"/>
              <a:ea typeface="+mn-ea"/>
              <a:cs typeface="+mn-cs"/>
            </a:rPr>
            <a:t>o</a:t>
          </a:r>
          <a:r>
            <a:rPr lang="en-GB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C</a:t>
          </a:r>
          <a:endParaRPr lang="en-GB"/>
        </a:p>
      </xdr:txBody>
    </xdr:sp>
    <xdr:clientData/>
  </xdr:oneCellAnchor>
  <xdr:twoCellAnchor>
    <xdr:from>
      <xdr:col>54</xdr:col>
      <xdr:colOff>666750</xdr:colOff>
      <xdr:row>26</xdr:row>
      <xdr:rowOff>114300</xdr:rowOff>
    </xdr:from>
    <xdr:to>
      <xdr:col>58</xdr:col>
      <xdr:colOff>205147</xdr:colOff>
      <xdr:row>45</xdr:row>
      <xdr:rowOff>128946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0.88416</cdr:x>
      <cdr:y>0.08247</cdr:y>
    </cdr:from>
    <cdr:to>
      <cdr:x>1</cdr:x>
      <cdr:y>0.89868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7FA7D44-8ADD-4F9F-86BA-8DC21A2945A1}"/>
            </a:ext>
          </a:extLst>
        </cdr:cNvPr>
        <cdr:cNvSpPr txBox="1"/>
      </cdr:nvSpPr>
      <cdr:spPr>
        <a:xfrm xmlns:a="http://schemas.openxmlformats.org/drawingml/2006/main" rot="5400000">
          <a:off x="2261450" y="1536715"/>
          <a:ext cx="2938373" cy="458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1200" b="0">
              <a:latin typeface="Arial" pitchFamily="34" charset="0"/>
              <a:cs typeface="Arial" pitchFamily="34" charset="0"/>
            </a:rPr>
            <a:t>Acetone production rate (mmol</a:t>
          </a:r>
          <a:r>
            <a:rPr lang="en-GB" sz="1200" b="0" baseline="0">
              <a:latin typeface="Arial" pitchFamily="34" charset="0"/>
              <a:cs typeface="Arial" pitchFamily="34" charset="0"/>
            </a:rPr>
            <a:t> </a:t>
          </a:r>
          <a:r>
            <a:rPr lang="en-GB" sz="1200" b="0">
              <a:latin typeface="Arial" pitchFamily="34" charset="0"/>
              <a:cs typeface="Arial" pitchFamily="34" charset="0"/>
            </a:rPr>
            <a:t>min</a:t>
          </a:r>
          <a:r>
            <a:rPr lang="en-GB" sz="1200" b="0" baseline="30000">
              <a:latin typeface="Arial" pitchFamily="34" charset="0"/>
              <a:cs typeface="Arial" pitchFamily="34" charset="0"/>
            </a:rPr>
            <a:t>-1</a:t>
          </a:r>
          <a:r>
            <a:rPr lang="en-GB" sz="1200" b="0">
              <a:latin typeface="Arial" pitchFamily="34" charset="0"/>
              <a:cs typeface="Arial" pitchFamily="34" charset="0"/>
            </a:rPr>
            <a:t> g</a:t>
          </a:r>
          <a:r>
            <a:rPr lang="en-GB" sz="1200" b="0" baseline="30000">
              <a:latin typeface="Arial" pitchFamily="34" charset="0"/>
              <a:cs typeface="Arial" pitchFamily="34" charset="0"/>
            </a:rPr>
            <a:t>-1</a:t>
          </a:r>
          <a:r>
            <a:rPr lang="en-GB" sz="1200" b="0">
              <a:latin typeface="Arial" pitchFamily="34" charset="0"/>
              <a:cs typeface="Arial" pitchFamily="34" charset="0"/>
            </a:rPr>
            <a:t> Fe</a:t>
          </a:r>
          <a:r>
            <a:rPr lang="en-GB" sz="1200" b="0" baseline="-25000">
              <a:latin typeface="Arial" pitchFamily="34" charset="0"/>
              <a:cs typeface="Arial" pitchFamily="34" charset="0"/>
            </a:rPr>
            <a:t>3</a:t>
          </a:r>
          <a:r>
            <a:rPr lang="en-GB" sz="1200" b="0">
              <a:latin typeface="Arial" pitchFamily="34" charset="0"/>
              <a:cs typeface="Arial" pitchFamily="34" charset="0"/>
            </a:rPr>
            <a:t>O</a:t>
          </a:r>
          <a:r>
            <a:rPr lang="en-GB" sz="1200" b="0" baseline="-25000">
              <a:latin typeface="Arial" pitchFamily="34" charset="0"/>
              <a:cs typeface="Arial" pitchFamily="34" charset="0"/>
            </a:rPr>
            <a:t>4</a:t>
          </a:r>
          <a:r>
            <a:rPr lang="en-GB" sz="1200" b="0" baseline="0">
              <a:latin typeface="Arial" pitchFamily="34" charset="0"/>
              <a:cs typeface="Arial" pitchFamily="34" charset="0"/>
            </a:rPr>
            <a:t>)</a:t>
          </a:r>
          <a:endParaRPr lang="en-GB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0.17786</cdr:x>
      <cdr:y>0.36152</cdr:y>
    </cdr:from>
    <cdr:to>
      <cdr:x>0.79328</cdr:x>
      <cdr:y>0.52666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B61930F0-AA88-4C00-9A37-EAA59884F1D4}"/>
            </a:ext>
          </a:extLst>
        </cdr:cNvPr>
        <cdr:cNvGrpSpPr/>
      </cdr:nvGrpSpPr>
      <cdr:grpSpPr>
        <a:xfrm xmlns:a="http://schemas.openxmlformats.org/drawingml/2006/main">
          <a:off x="727398" y="1274814"/>
          <a:ext cx="2516897" cy="582327"/>
          <a:chOff x="2808659" y="2436826"/>
          <a:chExt cx="2434315" cy="600447"/>
        </a:xfrm>
      </cdr:grpSpPr>
      <cdr:cxnSp macro="">
        <cdr:nvCxnSpPr>
          <cdr:cNvPr id="5" name="Straight Arrow Connector 4">
            <a:extLst xmlns:a="http://schemas.openxmlformats.org/drawingml/2006/main">
              <a:ext uri="{FF2B5EF4-FFF2-40B4-BE49-F238E27FC236}">
                <a16:creationId xmlns:a16="http://schemas.microsoft.com/office/drawing/2014/main" id="{20266E6A-C6A6-426A-822F-20B84297F5C6}"/>
              </a:ext>
            </a:extLst>
          </cdr:cNvPr>
          <cdr:cNvCxnSpPr/>
        </cdr:nvCxnSpPr>
        <cdr:spPr>
          <a:xfrm xmlns:a="http://schemas.openxmlformats.org/drawingml/2006/main">
            <a:off x="3802974" y="2436826"/>
            <a:ext cx="1440000" cy="0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chemeClr val="accent2"/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Straight Arrow Connector 5">
            <a:extLst xmlns:a="http://schemas.openxmlformats.org/drawingml/2006/main">
              <a:ext uri="{FF2B5EF4-FFF2-40B4-BE49-F238E27FC236}">
                <a16:creationId xmlns:a16="http://schemas.microsoft.com/office/drawing/2014/main" id="{F8BF06CC-732C-419D-BFBC-4119CC0002CB}"/>
              </a:ext>
            </a:extLst>
          </cdr:cNvPr>
          <cdr:cNvCxnSpPr/>
        </cdr:nvCxnSpPr>
        <cdr:spPr>
          <a:xfrm xmlns:a="http://schemas.openxmlformats.org/drawingml/2006/main" flipH="1">
            <a:off x="2808659" y="3037273"/>
            <a:ext cx="720000" cy="0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9525" cap="flat" cmpd="sng" algn="ctr">
            <a:solidFill>
              <a:schemeClr val="tx1"/>
            </a:solidFill>
            <a:prstDash val="solid"/>
            <a:tailEnd type="arrow"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0.25294</cdr:x>
      <cdr:y>0.3748</cdr:y>
    </cdr:from>
    <cdr:to>
      <cdr:x>0.7878</cdr:x>
      <cdr:y>0.3748</cdr:y>
    </cdr:to>
    <cdr:sp macro="" textlink="">
      <cdr:nv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A8FF3B19-3BBE-48CA-8D4E-90E5AA9D5802}"/>
            </a:ext>
          </a:extLst>
        </cdr:cNvPr>
        <cdr:cNvSpPr/>
      </cdr:nvSpPr>
      <cdr:spPr>
        <a:xfrm xmlns:a="http://schemas.openxmlformats.org/drawingml/2006/main">
          <a:off x="914400" y="1362075"/>
          <a:ext cx="193357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342900</xdr:colOff>
      <xdr:row>13</xdr:row>
      <xdr:rowOff>28575</xdr:rowOff>
    </xdr:from>
    <xdr:to>
      <xdr:col>41</xdr:col>
      <xdr:colOff>285300</xdr:colOff>
      <xdr:row>32</xdr:row>
      <xdr:rowOff>9075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/>
      </xdr:nvGrpSpPr>
      <xdr:grpSpPr>
        <a:xfrm>
          <a:off x="21678900" y="2505075"/>
          <a:ext cx="3600000" cy="3600000"/>
          <a:chOff x="21678900" y="2505075"/>
          <a:chExt cx="3600000" cy="3600000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aphicFramePr/>
        </xdr:nvGraphicFramePr>
        <xdr:xfrm>
          <a:off x="21678900" y="2505075"/>
          <a:ext cx="360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22574250" y="4257675"/>
            <a:ext cx="2266950" cy="0"/>
          </a:xfrm>
          <a:prstGeom prst="line">
            <a:avLst/>
          </a:prstGeom>
          <a:ln w="1270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F91"/>
  <sheetViews>
    <sheetView tabSelected="1" topLeftCell="R1" zoomScale="55" zoomScaleNormal="55" workbookViewId="0">
      <selection activeCell="Z14" sqref="Z14"/>
    </sheetView>
  </sheetViews>
  <sheetFormatPr defaultRowHeight="14.5" x14ac:dyDescent="0.35"/>
  <cols>
    <col min="1" max="1" width="7.81640625" customWidth="1"/>
    <col min="2" max="2" width="12.54296875" customWidth="1"/>
    <col min="3" max="3" width="19" bestFit="1" customWidth="1"/>
    <col min="4" max="4" width="14.1796875" bestFit="1" customWidth="1"/>
    <col min="5" max="6" width="15.1796875" bestFit="1" customWidth="1"/>
    <col min="7" max="7" width="17.7265625" bestFit="1" customWidth="1"/>
    <col min="8" max="8" width="15.1796875" bestFit="1" customWidth="1"/>
    <col min="9" max="9" width="20.54296875" bestFit="1" customWidth="1"/>
    <col min="11" max="11" width="16.1796875" customWidth="1"/>
    <col min="12" max="12" width="15.1796875" customWidth="1"/>
    <col min="13" max="13" width="14.26953125" customWidth="1"/>
    <col min="14" max="14" width="15.7265625" customWidth="1"/>
    <col min="15" max="15" width="14.81640625" customWidth="1"/>
    <col min="16" max="17" width="19.81640625" customWidth="1"/>
    <col min="18" max="19" width="15.26953125" customWidth="1"/>
    <col min="20" max="20" width="15.7265625" customWidth="1"/>
    <col min="21" max="21" width="21.1796875" customWidth="1"/>
    <col min="22" max="22" width="20.81640625" bestFit="1" customWidth="1"/>
    <col min="23" max="26" width="20.453125" bestFit="1" customWidth="1"/>
    <col min="30" max="30" width="22.54296875" bestFit="1" customWidth="1"/>
    <col min="31" max="31" width="19.453125" bestFit="1" customWidth="1"/>
    <col min="32" max="36" width="20.453125" bestFit="1" customWidth="1"/>
    <col min="39" max="39" width="12.54296875" customWidth="1"/>
    <col min="41" max="42" width="15.26953125" customWidth="1"/>
    <col min="43" max="43" width="15.54296875" customWidth="1"/>
    <col min="44" max="44" width="18" customWidth="1"/>
    <col min="45" max="58" width="15.26953125" customWidth="1"/>
    <col min="59" max="59" width="7.7265625" customWidth="1"/>
    <col min="60" max="60" width="16.81640625" customWidth="1"/>
    <col min="66" max="66" width="11.81640625" customWidth="1"/>
    <col min="67" max="68" width="16.26953125" customWidth="1"/>
    <col min="69" max="69" width="15.54296875" customWidth="1"/>
    <col min="70" max="70" width="15.81640625" customWidth="1"/>
    <col min="71" max="80" width="15" customWidth="1"/>
    <col min="81" max="85" width="12.81640625" customWidth="1"/>
    <col min="87" max="87" width="11.7265625" customWidth="1"/>
    <col min="92" max="92" width="12" bestFit="1" customWidth="1"/>
    <col min="95" max="99" width="12" bestFit="1" customWidth="1"/>
    <col min="100" max="100" width="14" customWidth="1"/>
    <col min="101" max="102" width="12" customWidth="1"/>
    <col min="103" max="103" width="14.81640625" customWidth="1"/>
    <col min="104" max="107" width="12" customWidth="1"/>
    <col min="108" max="108" width="19" customWidth="1"/>
    <col min="109" max="109" width="17.54296875" customWidth="1"/>
    <col min="110" max="113" width="18.7265625" customWidth="1"/>
    <col min="114" max="118" width="14.453125" customWidth="1"/>
    <col min="119" max="119" width="12.1796875" customWidth="1"/>
    <col min="120" max="121" width="12" customWidth="1"/>
    <col min="122" max="122" width="19.1796875" customWidth="1"/>
    <col min="123" max="123" width="18.1796875" customWidth="1"/>
    <col min="124" max="124" width="19.54296875" customWidth="1"/>
    <col min="125" max="125" width="6.7265625" customWidth="1"/>
    <col min="126" max="126" width="10.1796875" customWidth="1"/>
    <col min="140" max="140" width="12.81640625" customWidth="1"/>
    <col min="149" max="149" width="14.54296875" customWidth="1"/>
    <col min="151" max="151" width="11.26953125" customWidth="1"/>
    <col min="152" max="152" width="12.453125" customWidth="1"/>
    <col min="153" max="153" width="11.7265625" customWidth="1"/>
    <col min="154" max="154" width="13.26953125" customWidth="1"/>
    <col min="155" max="155" width="18.26953125" customWidth="1"/>
    <col min="156" max="156" width="11" customWidth="1"/>
    <col min="157" max="157" width="10.26953125" customWidth="1"/>
    <col min="158" max="158" width="18.26953125" customWidth="1"/>
    <col min="185" max="185" width="15.81640625" customWidth="1"/>
    <col min="186" max="186" width="15" customWidth="1"/>
    <col min="187" max="187" width="14" customWidth="1"/>
    <col min="188" max="188" width="16.453125" customWidth="1"/>
    <col min="189" max="189" width="14.453125" customWidth="1"/>
    <col min="190" max="190" width="15.1796875" customWidth="1"/>
  </cols>
  <sheetData>
    <row r="1" spans="2:136" x14ac:dyDescent="0.35">
      <c r="B1" t="s">
        <v>0</v>
      </c>
      <c r="C1" s="31" t="s">
        <v>1</v>
      </c>
      <c r="D1" s="15"/>
      <c r="E1" s="15"/>
      <c r="F1" s="15"/>
      <c r="G1" s="15"/>
      <c r="H1" s="15"/>
      <c r="I1" s="15"/>
      <c r="L1" s="32" t="s">
        <v>2</v>
      </c>
      <c r="M1" s="18"/>
      <c r="N1" s="18"/>
      <c r="O1" s="18"/>
      <c r="P1" s="18"/>
      <c r="Q1" s="18"/>
      <c r="R1" s="18"/>
      <c r="U1" s="3" t="s">
        <v>3</v>
      </c>
      <c r="V1" s="4"/>
      <c r="W1" s="4"/>
      <c r="X1" s="4"/>
      <c r="AD1" s="5" t="s">
        <v>10</v>
      </c>
      <c r="AE1" s="6"/>
      <c r="AF1" s="6"/>
      <c r="AG1" s="6"/>
      <c r="AM1" s="8" t="s">
        <v>95</v>
      </c>
      <c r="AN1" s="9"/>
      <c r="AO1" s="9"/>
      <c r="AP1" s="9"/>
      <c r="AV1" s="10" t="s">
        <v>11</v>
      </c>
      <c r="AW1" s="11"/>
      <c r="AX1" s="11"/>
      <c r="AY1" s="11"/>
      <c r="AZ1" s="1"/>
      <c r="BA1" s="1"/>
      <c r="BB1" s="1"/>
      <c r="BE1" s="10" t="s">
        <v>12</v>
      </c>
      <c r="BF1" s="11"/>
      <c r="BG1" s="11"/>
      <c r="BH1" s="11"/>
      <c r="BI1" s="1"/>
      <c r="BJ1" s="1"/>
      <c r="BN1" s="12" t="s">
        <v>13</v>
      </c>
      <c r="BO1" s="13"/>
      <c r="BP1" s="13"/>
      <c r="BQ1" s="13"/>
      <c r="BR1" s="14"/>
      <c r="BS1" s="14"/>
      <c r="BT1" s="14"/>
      <c r="CM1" s="1"/>
      <c r="CN1" s="1"/>
      <c r="CO1" s="1"/>
      <c r="CP1" s="1"/>
      <c r="DZ1" s="7">
        <v>6.3</v>
      </c>
      <c r="EA1" s="7">
        <v>9</v>
      </c>
      <c r="EB1" s="7">
        <v>16.5</v>
      </c>
      <c r="EC1" s="7">
        <v>18.100000000000001</v>
      </c>
      <c r="ED1" s="7">
        <v>27.8</v>
      </c>
      <c r="EE1" s="7">
        <v>38.9</v>
      </c>
      <c r="EF1" s="7">
        <v>44.7</v>
      </c>
    </row>
    <row r="2" spans="2:136" x14ac:dyDescent="0.35">
      <c r="B2" s="7" t="s">
        <v>14</v>
      </c>
      <c r="C2" s="7">
        <v>6.3</v>
      </c>
      <c r="D2" s="7">
        <v>9.6999999999999993</v>
      </c>
      <c r="E2" s="7">
        <v>16.600000000000001</v>
      </c>
      <c r="F2" s="7">
        <v>18.3</v>
      </c>
      <c r="G2" s="7">
        <v>27.8</v>
      </c>
      <c r="H2" s="7">
        <v>38.9</v>
      </c>
      <c r="I2" s="7">
        <v>44.7</v>
      </c>
      <c r="K2" s="7" t="s">
        <v>14</v>
      </c>
      <c r="L2" s="7">
        <v>6.3</v>
      </c>
      <c r="M2" s="7">
        <v>9.6999999999999993</v>
      </c>
      <c r="N2" s="7">
        <v>16.600000000000001</v>
      </c>
      <c r="O2" s="7">
        <v>18.3</v>
      </c>
      <c r="P2" s="7">
        <v>27.8</v>
      </c>
      <c r="Q2" s="7">
        <v>38.9</v>
      </c>
      <c r="R2" s="7">
        <v>44.7</v>
      </c>
      <c r="T2" s="7" t="s">
        <v>14</v>
      </c>
      <c r="U2" s="7">
        <v>6.3</v>
      </c>
      <c r="V2" s="7">
        <v>9.6999999999999993</v>
      </c>
      <c r="W2" s="7">
        <v>16.600000000000001</v>
      </c>
      <c r="X2" s="7">
        <v>18.3</v>
      </c>
      <c r="Y2" s="7">
        <v>27.8</v>
      </c>
      <c r="Z2" s="7">
        <v>38.9</v>
      </c>
      <c r="AA2" s="7">
        <v>44.7</v>
      </c>
      <c r="AD2" t="s">
        <v>67</v>
      </c>
      <c r="AE2" t="s">
        <v>68</v>
      </c>
      <c r="AF2" t="s">
        <v>69</v>
      </c>
      <c r="AG2" t="s">
        <v>70</v>
      </c>
      <c r="AH2" t="s">
        <v>71</v>
      </c>
      <c r="AI2" t="s">
        <v>72</v>
      </c>
      <c r="AJ2" t="s">
        <v>73</v>
      </c>
      <c r="AL2" s="7" t="s">
        <v>14</v>
      </c>
      <c r="AM2" s="7">
        <v>6.3</v>
      </c>
      <c r="AN2" s="7">
        <v>9.6999999999999993</v>
      </c>
      <c r="AO2" s="7">
        <v>16.600000000000001</v>
      </c>
      <c r="AP2" s="7">
        <v>18.3</v>
      </c>
      <c r="AQ2" s="7">
        <v>27.8</v>
      </c>
      <c r="AR2" s="7">
        <v>38.9</v>
      </c>
      <c r="AS2" s="7">
        <v>44.7</v>
      </c>
      <c r="AU2" t="s">
        <v>0</v>
      </c>
      <c r="AV2" s="7">
        <v>6.3</v>
      </c>
      <c r="AW2" s="7">
        <v>9.6999999999999993</v>
      </c>
      <c r="AX2" s="7">
        <v>16.600000000000001</v>
      </c>
      <c r="AY2" s="7">
        <v>18.3</v>
      </c>
      <c r="AZ2" s="7">
        <v>27.8</v>
      </c>
      <c r="BA2" s="7">
        <v>38.9</v>
      </c>
      <c r="BB2" s="7">
        <v>44.7</v>
      </c>
      <c r="BE2" s="7">
        <v>6.3</v>
      </c>
      <c r="BF2" s="7">
        <v>9</v>
      </c>
      <c r="BG2" s="7">
        <v>16.600000000000001</v>
      </c>
      <c r="BH2" s="7">
        <v>18.100000000000001</v>
      </c>
      <c r="BI2" s="7">
        <v>27.8</v>
      </c>
      <c r="BJ2" s="7">
        <v>38.9</v>
      </c>
      <c r="BK2" s="7">
        <v>44.7</v>
      </c>
      <c r="BN2" t="s">
        <v>67</v>
      </c>
      <c r="BO2" t="s">
        <v>68</v>
      </c>
      <c r="BP2" t="s">
        <v>69</v>
      </c>
      <c r="BQ2" t="s">
        <v>70</v>
      </c>
      <c r="BR2" t="s">
        <v>71</v>
      </c>
      <c r="BS2" t="s">
        <v>72</v>
      </c>
      <c r="BT2" t="s">
        <v>73</v>
      </c>
    </row>
    <row r="3" spans="2:136" x14ac:dyDescent="0.35">
      <c r="C3" t="s">
        <v>16</v>
      </c>
      <c r="D3" t="s">
        <v>17</v>
      </c>
      <c r="E3" t="s">
        <v>27</v>
      </c>
      <c r="F3" t="s">
        <v>28</v>
      </c>
      <c r="G3" t="s">
        <v>29</v>
      </c>
      <c r="H3" t="s">
        <v>30</v>
      </c>
      <c r="I3" t="s">
        <v>31</v>
      </c>
      <c r="L3" t="s">
        <v>16</v>
      </c>
      <c r="M3" t="s">
        <v>17</v>
      </c>
      <c r="N3" t="s">
        <v>27</v>
      </c>
      <c r="O3" t="s">
        <v>28</v>
      </c>
      <c r="P3" t="s">
        <v>74</v>
      </c>
      <c r="Q3" t="s">
        <v>30</v>
      </c>
      <c r="R3" t="s">
        <v>75</v>
      </c>
      <c r="U3" t="s">
        <v>65</v>
      </c>
      <c r="V3" t="s">
        <v>4</v>
      </c>
      <c r="W3" t="s">
        <v>5</v>
      </c>
      <c r="X3" t="s">
        <v>6</v>
      </c>
      <c r="Y3" t="s">
        <v>7</v>
      </c>
      <c r="Z3" t="s">
        <v>8</v>
      </c>
      <c r="AA3" t="s">
        <v>9</v>
      </c>
      <c r="AD3" t="s">
        <v>65</v>
      </c>
      <c r="AE3" t="s">
        <v>4</v>
      </c>
      <c r="AF3" t="s">
        <v>5</v>
      </c>
      <c r="AG3" t="s">
        <v>6</v>
      </c>
      <c r="AH3" t="s">
        <v>7</v>
      </c>
      <c r="AI3" t="s">
        <v>8</v>
      </c>
      <c r="AJ3" t="s">
        <v>9</v>
      </c>
      <c r="AM3" t="s">
        <v>65</v>
      </c>
      <c r="AN3" t="s">
        <v>4</v>
      </c>
      <c r="AO3" t="s">
        <v>5</v>
      </c>
      <c r="AP3" t="s">
        <v>6</v>
      </c>
      <c r="AQ3" t="s">
        <v>7</v>
      </c>
      <c r="AR3" t="s">
        <v>8</v>
      </c>
      <c r="AS3" t="s">
        <v>9</v>
      </c>
      <c r="AV3" t="s">
        <v>16</v>
      </c>
      <c r="AW3" t="s">
        <v>17</v>
      </c>
      <c r="AX3" t="s">
        <v>27</v>
      </c>
      <c r="AY3" t="s">
        <v>28</v>
      </c>
      <c r="AZ3" t="s">
        <v>29</v>
      </c>
      <c r="BA3" t="s">
        <v>30</v>
      </c>
      <c r="BB3" t="s">
        <v>31</v>
      </c>
      <c r="BE3" t="s">
        <v>16</v>
      </c>
      <c r="BF3" t="s">
        <v>17</v>
      </c>
      <c r="BG3" t="s">
        <v>27</v>
      </c>
      <c r="BH3" t="s">
        <v>28</v>
      </c>
      <c r="BI3" t="s">
        <v>29</v>
      </c>
      <c r="BJ3" t="s">
        <v>30</v>
      </c>
      <c r="BK3" t="s">
        <v>31</v>
      </c>
    </row>
    <row r="4" spans="2:136" x14ac:dyDescent="0.35">
      <c r="B4" t="s">
        <v>18</v>
      </c>
      <c r="C4">
        <v>1</v>
      </c>
      <c r="D4">
        <v>0.5</v>
      </c>
      <c r="E4">
        <v>0.5</v>
      </c>
      <c r="F4">
        <v>0.23</v>
      </c>
      <c r="G4">
        <v>0.15</v>
      </c>
      <c r="H4">
        <v>0.1</v>
      </c>
      <c r="I4">
        <v>0.1</v>
      </c>
      <c r="K4" t="s">
        <v>18</v>
      </c>
      <c r="L4">
        <v>1</v>
      </c>
      <c r="M4">
        <v>0.5</v>
      </c>
      <c r="N4">
        <v>0.5</v>
      </c>
      <c r="O4">
        <v>0.23</v>
      </c>
      <c r="P4">
        <v>0.15</v>
      </c>
      <c r="Q4">
        <v>0.1</v>
      </c>
      <c r="R4">
        <v>0.1</v>
      </c>
      <c r="T4" t="s">
        <v>18</v>
      </c>
      <c r="U4">
        <v>1</v>
      </c>
      <c r="V4">
        <v>0.5</v>
      </c>
      <c r="W4">
        <v>0.5</v>
      </c>
      <c r="X4">
        <v>0.23</v>
      </c>
      <c r="Y4">
        <v>0.14000000000000001</v>
      </c>
      <c r="Z4">
        <v>0.1</v>
      </c>
      <c r="AA4">
        <v>0.1</v>
      </c>
      <c r="AC4" t="s">
        <v>18</v>
      </c>
      <c r="AD4">
        <v>1</v>
      </c>
      <c r="AE4">
        <v>0.5</v>
      </c>
      <c r="AF4">
        <v>0.5</v>
      </c>
      <c r="AG4">
        <v>0.23</v>
      </c>
      <c r="AH4">
        <v>0.15</v>
      </c>
      <c r="AI4">
        <v>0.1</v>
      </c>
      <c r="AJ4">
        <v>0.1</v>
      </c>
      <c r="AL4" t="s">
        <v>18</v>
      </c>
      <c r="AM4">
        <v>1</v>
      </c>
      <c r="AN4">
        <v>0.5</v>
      </c>
      <c r="AO4">
        <v>0.5</v>
      </c>
      <c r="AP4">
        <v>0.23</v>
      </c>
      <c r="AQ4">
        <v>0.15</v>
      </c>
      <c r="AR4">
        <v>0.1</v>
      </c>
      <c r="AS4">
        <v>0.1</v>
      </c>
      <c r="AU4" t="s">
        <v>18</v>
      </c>
      <c r="AV4">
        <v>1</v>
      </c>
      <c r="AW4">
        <v>0.5</v>
      </c>
      <c r="AX4">
        <v>0.5</v>
      </c>
      <c r="AY4">
        <v>0.23</v>
      </c>
      <c r="AZ4">
        <v>0.15</v>
      </c>
      <c r="BA4">
        <v>0.1</v>
      </c>
      <c r="BB4">
        <v>0.1</v>
      </c>
      <c r="BD4" t="s">
        <v>18</v>
      </c>
      <c r="BF4">
        <v>0.5</v>
      </c>
      <c r="BG4">
        <v>0.5</v>
      </c>
      <c r="BH4">
        <v>0.23</v>
      </c>
      <c r="BI4">
        <v>0.15</v>
      </c>
      <c r="BJ4">
        <v>0.1</v>
      </c>
      <c r="BK4">
        <v>0.1</v>
      </c>
      <c r="BM4" t="s">
        <v>18</v>
      </c>
      <c r="BN4">
        <v>1</v>
      </c>
      <c r="BO4">
        <v>0.5</v>
      </c>
      <c r="BP4">
        <v>0.5</v>
      </c>
      <c r="BQ4">
        <v>0.23</v>
      </c>
      <c r="BR4">
        <v>0.15</v>
      </c>
      <c r="BS4">
        <v>0.1</v>
      </c>
      <c r="BT4">
        <v>0.1</v>
      </c>
    </row>
    <row r="5" spans="2:136" x14ac:dyDescent="0.35">
      <c r="B5">
        <v>300</v>
      </c>
      <c r="C5" s="15">
        <v>0.78328981723237234</v>
      </c>
      <c r="D5" s="15">
        <v>1.013837511987937</v>
      </c>
      <c r="E5" s="16">
        <v>1.2345679012345794</v>
      </c>
      <c r="F5" s="15">
        <v>0</v>
      </c>
      <c r="G5" s="15">
        <v>0</v>
      </c>
      <c r="H5" s="15">
        <v>0</v>
      </c>
      <c r="I5" s="15">
        <v>0</v>
      </c>
      <c r="K5">
        <v>300</v>
      </c>
      <c r="L5" s="18">
        <f t="shared" ref="L5:L13" si="0">(C5/100)*3.5</f>
        <v>2.7415143603133029E-2</v>
      </c>
      <c r="M5" s="18">
        <f t="shared" ref="M5:M13" si="1">(D5/100)*3.5</f>
        <v>3.5484312919577793E-2</v>
      </c>
      <c r="N5" s="18">
        <f t="shared" ref="N5:N13" si="2">(E5/100)*3.5</f>
        <v>4.3209876543210284E-2</v>
      </c>
      <c r="O5" s="18">
        <f t="shared" ref="O5:O13" si="3">(F5/100)*3.5</f>
        <v>0</v>
      </c>
      <c r="P5" s="18">
        <f t="shared" ref="P5:P13" si="4">(G5/100)*3.5</f>
        <v>0</v>
      </c>
      <c r="Q5" s="18">
        <f t="shared" ref="Q5:Q13" si="5">(H5/100)*3.5</f>
        <v>0</v>
      </c>
      <c r="R5" s="18">
        <f t="shared" ref="R5:R13" si="6">(I5/100)*3.5</f>
        <v>0</v>
      </c>
      <c r="T5">
        <v>300</v>
      </c>
      <c r="U5" s="19">
        <f t="shared" ref="U5:U13" si="7">L5/0.04</f>
        <v>0.68537859007832569</v>
      </c>
      <c r="V5" s="19">
        <f t="shared" ref="V5:V13" si="8">M5/0.0405</f>
        <v>0.87615587455747634</v>
      </c>
      <c r="W5" s="19">
        <f t="shared" ref="W5:W13" si="9">N5/0.072</f>
        <v>0.60013717421125401</v>
      </c>
      <c r="X5" s="19">
        <f t="shared" ref="X5:X13" si="10">O5/0.0564</f>
        <v>0</v>
      </c>
      <c r="Y5" s="19">
        <f t="shared" ref="Y5:Y13" si="11">P5/0.051</f>
        <v>0</v>
      </c>
      <c r="Z5" s="19">
        <f t="shared" ref="Z5:Z13" si="12">Q5/0.056</f>
        <v>0</v>
      </c>
      <c r="AA5" s="19">
        <f t="shared" ref="AA5:AA13" si="13">R5/0.063</f>
        <v>0</v>
      </c>
      <c r="AC5">
        <v>300</v>
      </c>
      <c r="AD5" s="6">
        <f t="shared" ref="AD5:AD14" si="14">U5/184</f>
        <v>3.7248836417300311E-3</v>
      </c>
      <c r="AE5" s="6">
        <f t="shared" ref="AE5:AE13" si="15">V5/119.5</f>
        <v>7.3318483226567062E-3</v>
      </c>
      <c r="AF5" s="6">
        <f t="shared" ref="AF5:AF13" si="16">W5/69.8</f>
        <v>8.5979537852615192E-3</v>
      </c>
      <c r="AG5" s="6">
        <v>0</v>
      </c>
      <c r="AH5" s="6">
        <f t="shared" ref="AH5:AH13" si="17">Y5/41.7</f>
        <v>0</v>
      </c>
      <c r="AI5" s="6">
        <f t="shared" ref="AI5:AI13" si="18">Z5/29.8</f>
        <v>0</v>
      </c>
      <c r="AJ5" s="6">
        <f t="shared" ref="AJ5:AJ13" si="19">AA5/25.9</f>
        <v>0</v>
      </c>
      <c r="AL5">
        <v>300</v>
      </c>
      <c r="AM5" s="19"/>
      <c r="AN5" s="19"/>
      <c r="AO5" s="19"/>
      <c r="AP5" s="19"/>
      <c r="AQ5" s="19"/>
      <c r="AR5" s="19"/>
      <c r="AS5" s="19"/>
      <c r="AU5">
        <v>300</v>
      </c>
      <c r="AV5" s="15">
        <f t="shared" ref="AV5:AV13" si="20">((AM5/100)*(C5/100))*3.5</f>
        <v>0</v>
      </c>
      <c r="AW5" s="15">
        <f t="shared" ref="AW5:AW13" si="21">((AN5/100)*(D5/100))*3.5</f>
        <v>0</v>
      </c>
      <c r="AX5" s="15">
        <f t="shared" ref="AX5:AX13" si="22">((AO5/100)*(E5/100))*3.5</f>
        <v>0</v>
      </c>
      <c r="AY5" s="15">
        <f t="shared" ref="AY5:AY13" si="23">((AP5/100)*(F5/100))*3.5</f>
        <v>0</v>
      </c>
      <c r="AZ5" s="15">
        <f t="shared" ref="AZ5:AZ13" si="24">((AQ5/100)*(G5/100))*3.5</f>
        <v>0</v>
      </c>
      <c r="BA5" s="15">
        <f t="shared" ref="BA5:BA13" si="25">((AR5/100)*(H5/100))*3.5</f>
        <v>0</v>
      </c>
      <c r="BB5" s="15">
        <f t="shared" ref="BB5:BB13" si="26">((AS5/100)*(I5/100))*3.5</f>
        <v>0</v>
      </c>
      <c r="BD5">
        <v>300</v>
      </c>
      <c r="BE5" s="15">
        <f t="shared" ref="BE5:BE13" si="27">AV5/0.04</f>
        <v>0</v>
      </c>
      <c r="BF5" s="15">
        <f t="shared" ref="BF5:BF13" si="28">AW5/0.0405</f>
        <v>0</v>
      </c>
      <c r="BG5" s="15">
        <f t="shared" ref="BG5:BG13" si="29">AX5/0.072</f>
        <v>0</v>
      </c>
      <c r="BH5" s="15">
        <f t="shared" ref="BH5:BH13" si="30">AY5/0.0564</f>
        <v>0</v>
      </c>
      <c r="BI5" s="15">
        <f>AZ5/0.051</f>
        <v>0</v>
      </c>
      <c r="BJ5" s="15">
        <f>BA5/0.056</f>
        <v>0</v>
      </c>
      <c r="BK5" s="15">
        <f>BB5/0.063</f>
        <v>0</v>
      </c>
      <c r="BM5">
        <v>300</v>
      </c>
      <c r="BN5" s="21">
        <f t="shared" ref="BN5:BN13" si="31">BE5/184</f>
        <v>0</v>
      </c>
      <c r="BO5" s="21">
        <f t="shared" ref="BO5:BO13" si="32">BF5/119.5</f>
        <v>0</v>
      </c>
      <c r="BP5" s="21">
        <f t="shared" ref="BP5:BP13" si="33">BG5/69.8</f>
        <v>0</v>
      </c>
      <c r="BQ5" s="21">
        <f t="shared" ref="BQ5:BQ13" si="34">BH5/63.4</f>
        <v>0</v>
      </c>
      <c r="BR5" s="21">
        <f t="shared" ref="BR5:BR13" si="35">BI5/41.7</f>
        <v>0</v>
      </c>
      <c r="BS5" s="21">
        <f t="shared" ref="BS5:BS13" si="36">BJ5/29.8</f>
        <v>0</v>
      </c>
      <c r="BT5" s="21">
        <f t="shared" ref="BT5:BT13" si="37">BK5/25.9</f>
        <v>0</v>
      </c>
    </row>
    <row r="6" spans="2:136" x14ac:dyDescent="0.35">
      <c r="B6">
        <v>325</v>
      </c>
      <c r="C6" s="15">
        <v>5.1348999129677964</v>
      </c>
      <c r="D6" s="15">
        <v>2.2222222222222334</v>
      </c>
      <c r="E6" s="16">
        <v>2.7191748710736143</v>
      </c>
      <c r="F6" s="15">
        <v>3.5212626461089562</v>
      </c>
      <c r="G6" s="15">
        <v>1.7730496453900741</v>
      </c>
      <c r="H6" s="15">
        <v>1.0416666666666572</v>
      </c>
      <c r="I6" s="15">
        <v>0</v>
      </c>
      <c r="K6">
        <v>325</v>
      </c>
      <c r="L6" s="18">
        <f t="shared" si="0"/>
        <v>0.17972149695387288</v>
      </c>
      <c r="M6" s="18">
        <f t="shared" si="1"/>
        <v>7.7777777777778168E-2</v>
      </c>
      <c r="N6" s="18">
        <f t="shared" si="2"/>
        <v>9.5171120487576491E-2</v>
      </c>
      <c r="O6" s="18">
        <f t="shared" si="3"/>
        <v>0.12324419261381346</v>
      </c>
      <c r="P6" s="18">
        <f t="shared" si="4"/>
        <v>6.20567375886526E-2</v>
      </c>
      <c r="Q6" s="18">
        <f t="shared" si="5"/>
        <v>3.6458333333333003E-2</v>
      </c>
      <c r="R6" s="18">
        <f t="shared" si="6"/>
        <v>0</v>
      </c>
      <c r="T6">
        <v>325</v>
      </c>
      <c r="U6" s="19">
        <f t="shared" si="7"/>
        <v>4.4930374238468218</v>
      </c>
      <c r="V6" s="19">
        <f t="shared" si="8"/>
        <v>1.9204389574760041</v>
      </c>
      <c r="W6" s="19">
        <f t="shared" si="9"/>
        <v>1.3218211178830068</v>
      </c>
      <c r="X6" s="19">
        <f t="shared" si="10"/>
        <v>2.1851807201030757</v>
      </c>
      <c r="Y6" s="19">
        <f t="shared" si="11"/>
        <v>1.2167987762480903</v>
      </c>
      <c r="Z6" s="19">
        <f t="shared" si="12"/>
        <v>0.65104166666666075</v>
      </c>
      <c r="AA6" s="19">
        <f t="shared" si="13"/>
        <v>0</v>
      </c>
      <c r="AC6">
        <v>325</v>
      </c>
      <c r="AD6" s="6">
        <f t="shared" si="14"/>
        <v>2.4418681651341423E-2</v>
      </c>
      <c r="AE6" s="6">
        <f t="shared" si="15"/>
        <v>1.6070618891012588E-2</v>
      </c>
      <c r="AF6" s="6">
        <f t="shared" si="16"/>
        <v>1.8937265299183478E-2</v>
      </c>
      <c r="AG6" s="6">
        <f t="shared" ref="AG6:AG13" si="38">X6/63.4</f>
        <v>3.4466572872288263E-2</v>
      </c>
      <c r="AH6" s="6">
        <f t="shared" si="17"/>
        <v>2.9179826768539335E-2</v>
      </c>
      <c r="AI6" s="6">
        <f t="shared" si="18"/>
        <v>2.1847035794183248E-2</v>
      </c>
      <c r="AJ6" s="6">
        <f t="shared" si="19"/>
        <v>0</v>
      </c>
      <c r="AL6">
        <v>325</v>
      </c>
      <c r="AM6" s="19">
        <v>21.779730197163623</v>
      </c>
      <c r="AN6" s="19">
        <v>38.775510204081378</v>
      </c>
      <c r="AO6" s="19">
        <v>22.441518838304489</v>
      </c>
      <c r="AP6" s="19">
        <v>8.4841391317256925</v>
      </c>
      <c r="AQ6" s="19">
        <v>6.2826530612244618</v>
      </c>
      <c r="AR6" s="19">
        <v>8.8163265306124092</v>
      </c>
      <c r="AS6" s="19"/>
      <c r="AU6">
        <v>325</v>
      </c>
      <c r="AV6" s="15">
        <f t="shared" si="20"/>
        <v>3.9142857142857153E-2</v>
      </c>
      <c r="AW6" s="15">
        <f t="shared" si="21"/>
        <v>3.0158730158730107E-2</v>
      </c>
      <c r="AX6" s="15">
        <f t="shared" si="22"/>
        <v>2.1357844932844941E-2</v>
      </c>
      <c r="AY6" s="15">
        <f t="shared" si="23"/>
        <v>1.0456208773127933E-2</v>
      </c>
      <c r="AZ6" s="15">
        <f t="shared" si="24"/>
        <v>3.898809523809514E-3</v>
      </c>
      <c r="BA6" s="15">
        <f t="shared" si="25"/>
        <v>3.214285714285745E-3</v>
      </c>
      <c r="BB6" s="15">
        <f t="shared" si="26"/>
        <v>0</v>
      </c>
      <c r="BD6">
        <v>325</v>
      </c>
      <c r="BE6" s="15">
        <f t="shared" si="27"/>
        <v>0.97857142857142876</v>
      </c>
      <c r="BF6" s="15">
        <f t="shared" si="28"/>
        <v>0.7446600039192619</v>
      </c>
      <c r="BG6" s="15">
        <f t="shared" si="29"/>
        <v>0.296636735178402</v>
      </c>
      <c r="BH6" s="15">
        <f t="shared" si="30"/>
        <v>0.18539377257319031</v>
      </c>
      <c r="BI6" s="15">
        <f t="shared" ref="BI6:BI13" si="39">AZ6/0.051</f>
        <v>7.6447245564892435E-2</v>
      </c>
      <c r="BJ6" s="15">
        <f t="shared" ref="BJ6:BJ13" si="40">BA6/0.056</f>
        <v>5.7397959183674019E-2</v>
      </c>
      <c r="BK6" s="15">
        <f t="shared" ref="BK6:BK13" si="41">BB6/0.063</f>
        <v>0</v>
      </c>
      <c r="BM6">
        <v>325</v>
      </c>
      <c r="BN6" s="21">
        <f t="shared" si="31"/>
        <v>5.3183229813664606E-3</v>
      </c>
      <c r="BO6" s="21">
        <f t="shared" si="32"/>
        <v>6.2314644679436143E-3</v>
      </c>
      <c r="BP6" s="21">
        <f t="shared" si="33"/>
        <v>4.2498099595759597E-3</v>
      </c>
      <c r="BQ6" s="21">
        <f t="shared" si="34"/>
        <v>2.9241919964225604E-3</v>
      </c>
      <c r="BR6" s="21">
        <f t="shared" si="35"/>
        <v>1.8332672797336314E-3</v>
      </c>
      <c r="BS6" s="21">
        <f t="shared" si="36"/>
        <v>1.9261060128749671E-3</v>
      </c>
      <c r="BT6" s="21">
        <f t="shared" si="37"/>
        <v>0</v>
      </c>
    </row>
    <row r="7" spans="2:136" x14ac:dyDescent="0.35">
      <c r="B7">
        <v>350</v>
      </c>
      <c r="C7" s="15">
        <v>10.139251523063528</v>
      </c>
      <c r="D7" s="15">
        <v>5.5555555555555616</v>
      </c>
      <c r="E7" s="16">
        <v>4.5944678856071306</v>
      </c>
      <c r="F7" s="15">
        <v>5.3991942734353033</v>
      </c>
      <c r="G7" s="15">
        <v>3.3096926713947945</v>
      </c>
      <c r="H7" s="15">
        <v>0.69444444444442865</v>
      </c>
      <c r="I7" s="15">
        <v>2.0737327188940142</v>
      </c>
      <c r="K7">
        <v>350</v>
      </c>
      <c r="L7" s="18">
        <f t="shared" si="0"/>
        <v>0.35487380330722346</v>
      </c>
      <c r="M7" s="18">
        <f t="shared" si="1"/>
        <v>0.19444444444444464</v>
      </c>
      <c r="N7" s="18">
        <f t="shared" si="2"/>
        <v>0.16080637599624958</v>
      </c>
      <c r="O7" s="18">
        <f t="shared" si="3"/>
        <v>0.1889717995702356</v>
      </c>
      <c r="P7" s="18">
        <f t="shared" si="4"/>
        <v>0.11583924349881781</v>
      </c>
      <c r="Q7" s="18">
        <f t="shared" si="5"/>
        <v>2.4305555555555001E-2</v>
      </c>
      <c r="R7" s="18">
        <f t="shared" si="6"/>
        <v>7.2580645161290494E-2</v>
      </c>
      <c r="T7">
        <v>350</v>
      </c>
      <c r="U7" s="19">
        <f t="shared" si="7"/>
        <v>8.8718450826805864</v>
      </c>
      <c r="V7" s="19">
        <f t="shared" si="8"/>
        <v>4.8010973936899912</v>
      </c>
      <c r="W7" s="19">
        <f t="shared" si="9"/>
        <v>2.2334218888368</v>
      </c>
      <c r="X7" s="19">
        <f t="shared" si="10"/>
        <v>3.350563822167298</v>
      </c>
      <c r="Y7" s="19">
        <f t="shared" si="11"/>
        <v>2.2713577156630946</v>
      </c>
      <c r="Z7" s="19">
        <f t="shared" si="12"/>
        <v>0.43402777777776785</v>
      </c>
      <c r="AA7" s="19">
        <f t="shared" si="13"/>
        <v>1.1520737327188968</v>
      </c>
      <c r="AC7">
        <v>350</v>
      </c>
      <c r="AD7" s="6">
        <f t="shared" si="14"/>
        <v>4.8216549362394494E-2</v>
      </c>
      <c r="AE7" s="6">
        <f t="shared" si="15"/>
        <v>4.0176547227531306E-2</v>
      </c>
      <c r="AF7" s="6">
        <f t="shared" si="16"/>
        <v>3.1997448264137536E-2</v>
      </c>
      <c r="AG7" s="6">
        <f t="shared" si="38"/>
        <v>5.2848009813364322E-2</v>
      </c>
      <c r="AH7" s="6">
        <f t="shared" si="17"/>
        <v>5.4469009967939915E-2</v>
      </c>
      <c r="AI7" s="6">
        <f t="shared" si="18"/>
        <v>1.4564690529455297E-2</v>
      </c>
      <c r="AJ7" s="6">
        <f t="shared" si="19"/>
        <v>4.4481611301887908E-2</v>
      </c>
      <c r="AL7">
        <v>350</v>
      </c>
      <c r="AM7" s="19">
        <v>26.612395308070226</v>
      </c>
      <c r="AN7" s="19">
        <v>38.21480107194386</v>
      </c>
      <c r="AO7" s="19">
        <v>39.877501244400172</v>
      </c>
      <c r="AP7" s="19">
        <v>25.472304970378048</v>
      </c>
      <c r="AQ7" s="19">
        <v>14.771428571428592</v>
      </c>
      <c r="AR7" s="19">
        <v>32.740136054422294</v>
      </c>
      <c r="AS7" s="19">
        <v>40.504489795918268</v>
      </c>
      <c r="AU7">
        <v>350</v>
      </c>
      <c r="AV7" s="15">
        <f t="shared" si="20"/>
        <v>9.4440419380901905E-2</v>
      </c>
      <c r="AW7" s="15">
        <f t="shared" si="21"/>
        <v>7.4306557639890913E-2</v>
      </c>
      <c r="AX7" s="15">
        <f t="shared" si="22"/>
        <v>6.412556458897925E-2</v>
      </c>
      <c r="AY7" s="15">
        <f t="shared" si="23"/>
        <v>4.8135473094541963E-2</v>
      </c>
      <c r="AZ7" s="15">
        <f t="shared" si="24"/>
        <v>1.7111111111111112E-2</v>
      </c>
      <c r="BA7" s="15">
        <f t="shared" si="25"/>
        <v>7.9576719576719031E-3</v>
      </c>
      <c r="BB7" s="15">
        <f t="shared" si="26"/>
        <v>2.9398420013166553E-2</v>
      </c>
      <c r="BD7">
        <v>350</v>
      </c>
      <c r="BE7" s="15">
        <f t="shared" si="27"/>
        <v>2.3610104845225477</v>
      </c>
      <c r="BF7" s="15">
        <f t="shared" si="28"/>
        <v>1.8347298182689113</v>
      </c>
      <c r="BG7" s="15">
        <f t="shared" si="29"/>
        <v>0.89063284151360078</v>
      </c>
      <c r="BH7" s="15">
        <f t="shared" si="30"/>
        <v>0.85346583500960926</v>
      </c>
      <c r="BI7" s="15">
        <f t="shared" si="39"/>
        <v>0.33551198257080611</v>
      </c>
      <c r="BJ7" s="15">
        <f t="shared" si="40"/>
        <v>0.14210128495842683</v>
      </c>
      <c r="BK7" s="15">
        <f t="shared" si="41"/>
        <v>0.46664158751058021</v>
      </c>
      <c r="BM7">
        <v>350</v>
      </c>
      <c r="BN7" s="21">
        <f t="shared" si="31"/>
        <v>1.2831578720231237E-2</v>
      </c>
      <c r="BO7" s="21">
        <f t="shared" si="32"/>
        <v>1.5353387600576664E-2</v>
      </c>
      <c r="BP7" s="21">
        <f t="shared" si="33"/>
        <v>1.2759782829707748E-2</v>
      </c>
      <c r="BQ7" s="21">
        <f t="shared" si="34"/>
        <v>1.3461606230435477E-2</v>
      </c>
      <c r="BR7" s="21">
        <f t="shared" si="35"/>
        <v>8.0458509009785628E-3</v>
      </c>
      <c r="BS7" s="21">
        <f t="shared" si="36"/>
        <v>4.7684994952492225E-3</v>
      </c>
      <c r="BT7" s="21">
        <f t="shared" si="37"/>
        <v>1.8017049710833215E-2</v>
      </c>
    </row>
    <row r="8" spans="2:136" x14ac:dyDescent="0.35">
      <c r="B8">
        <v>375</v>
      </c>
      <c r="C8" s="15">
        <v>19.06005221932114</v>
      </c>
      <c r="D8" s="15">
        <v>15.11111111111112</v>
      </c>
      <c r="E8" s="16">
        <v>10.923581809657767</v>
      </c>
      <c r="F8" s="15">
        <v>18.309974211303938</v>
      </c>
      <c r="G8" s="15">
        <v>6.9148936170212743</v>
      </c>
      <c r="H8" s="15">
        <v>8.5648148148148238</v>
      </c>
      <c r="I8" s="15">
        <v>3.225806451612911</v>
      </c>
      <c r="K8">
        <v>375</v>
      </c>
      <c r="L8" s="18">
        <f t="shared" si="0"/>
        <v>0.66710182767623982</v>
      </c>
      <c r="M8" s="18">
        <f t="shared" si="1"/>
        <v>0.52888888888888919</v>
      </c>
      <c r="N8" s="18">
        <f t="shared" si="2"/>
        <v>0.38232536333802186</v>
      </c>
      <c r="O8" s="18">
        <f t="shared" si="3"/>
        <v>0.64084909739563789</v>
      </c>
      <c r="P8" s="18">
        <f t="shared" si="4"/>
        <v>0.2420212765957446</v>
      </c>
      <c r="Q8" s="18">
        <f t="shared" si="5"/>
        <v>0.29976851851851882</v>
      </c>
      <c r="R8" s="18">
        <f t="shared" si="6"/>
        <v>0.11290322580645187</v>
      </c>
      <c r="T8">
        <v>375</v>
      </c>
      <c r="U8" s="19">
        <f t="shared" si="7"/>
        <v>16.677545691905994</v>
      </c>
      <c r="V8" s="19">
        <f t="shared" si="8"/>
        <v>13.05898491083677</v>
      </c>
      <c r="W8" s="19">
        <f t="shared" si="9"/>
        <v>5.3100744908058592</v>
      </c>
      <c r="X8" s="19">
        <f t="shared" si="10"/>
        <v>11.362572648858828</v>
      </c>
      <c r="Y8" s="19">
        <f t="shared" si="11"/>
        <v>4.7455152273675418</v>
      </c>
      <c r="Z8" s="19">
        <f t="shared" si="12"/>
        <v>5.3530092592592649</v>
      </c>
      <c r="AA8" s="19">
        <f t="shared" si="13"/>
        <v>1.7921146953405058</v>
      </c>
      <c r="AC8">
        <v>375</v>
      </c>
      <c r="AD8" s="6">
        <f t="shared" si="14"/>
        <v>9.0638835282097791E-2</v>
      </c>
      <c r="AE8" s="6">
        <f t="shared" si="15"/>
        <v>0.1092802084588851</v>
      </c>
      <c r="AF8" s="6">
        <f t="shared" si="16"/>
        <v>7.6075565770857584E-2</v>
      </c>
      <c r="AG8" s="6">
        <f t="shared" si="38"/>
        <v>0.17922038878326227</v>
      </c>
      <c r="AH8" s="6">
        <f t="shared" si="17"/>
        <v>0.11380132439730316</v>
      </c>
      <c r="AI8" s="6">
        <f t="shared" si="18"/>
        <v>0.17963118319661961</v>
      </c>
      <c r="AJ8" s="6">
        <f t="shared" si="19"/>
        <v>6.9193617580714517E-2</v>
      </c>
      <c r="AL8">
        <v>375</v>
      </c>
      <c r="AM8" s="19">
        <v>30.000687027848084</v>
      </c>
      <c r="AN8" s="19">
        <v>31.725417439703136</v>
      </c>
      <c r="AO8" s="19">
        <v>60.977339167278778</v>
      </c>
      <c r="AP8" s="19">
        <v>23.049776665768178</v>
      </c>
      <c r="AQ8" s="19">
        <v>32.484353741496605</v>
      </c>
      <c r="AR8" s="19">
        <v>22.9375196232339</v>
      </c>
      <c r="AS8" s="19">
        <v>44.023742454728314</v>
      </c>
      <c r="AU8">
        <v>375</v>
      </c>
      <c r="AV8" s="15">
        <f t="shared" si="20"/>
        <v>0.20013513147820317</v>
      </c>
      <c r="AW8" s="15">
        <f t="shared" si="21"/>
        <v>0.16779220779220777</v>
      </c>
      <c r="AX8" s="15">
        <f t="shared" si="22"/>
        <v>0.23313183352515651</v>
      </c>
      <c r="AY8" s="15">
        <f t="shared" si="23"/>
        <v>0.14771428571428574</v>
      </c>
      <c r="AZ8" s="15">
        <f t="shared" si="24"/>
        <v>7.8619047619047616E-2</v>
      </c>
      <c r="BA8" s="15">
        <f t="shared" si="25"/>
        <v>6.8759462759462806E-2</v>
      </c>
      <c r="BB8" s="15">
        <f t="shared" si="26"/>
        <v>4.9704225352112733E-2</v>
      </c>
      <c r="BD8">
        <v>375</v>
      </c>
      <c r="BE8" s="15">
        <f t="shared" si="27"/>
        <v>5.0033782869550789</v>
      </c>
      <c r="BF8" s="15">
        <f t="shared" si="28"/>
        <v>4.143017476350809</v>
      </c>
      <c r="BG8" s="15">
        <f t="shared" si="29"/>
        <v>3.2379421322938406</v>
      </c>
      <c r="BH8" s="15">
        <f t="shared" si="30"/>
        <v>2.6190476190476195</v>
      </c>
      <c r="BI8" s="15">
        <f t="shared" si="39"/>
        <v>1.5415499533146593</v>
      </c>
      <c r="BJ8" s="15">
        <f t="shared" si="40"/>
        <v>1.2278475492761216</v>
      </c>
      <c r="BK8" s="15">
        <f t="shared" si="41"/>
        <v>0.78895595797004336</v>
      </c>
      <c r="BM8">
        <v>375</v>
      </c>
      <c r="BN8" s="21">
        <f t="shared" si="31"/>
        <v>2.7192273298668908E-2</v>
      </c>
      <c r="BO8" s="21">
        <f t="shared" si="32"/>
        <v>3.466960231255907E-2</v>
      </c>
      <c r="BP8" s="21">
        <f t="shared" si="33"/>
        <v>4.6388855763522072E-2</v>
      </c>
      <c r="BQ8" s="21">
        <f t="shared" si="34"/>
        <v>4.1309899354063401E-2</v>
      </c>
      <c r="BR8" s="21">
        <f t="shared" si="35"/>
        <v>3.6967624779728037E-2</v>
      </c>
      <c r="BS8" s="21">
        <f t="shared" si="36"/>
        <v>4.1202937895171862E-2</v>
      </c>
      <c r="BT8" s="21">
        <f t="shared" si="37"/>
        <v>3.0461619998843375E-2</v>
      </c>
    </row>
    <row r="9" spans="2:136" x14ac:dyDescent="0.35">
      <c r="B9">
        <v>390</v>
      </c>
      <c r="C9" s="15">
        <v>27.545691906005224</v>
      </c>
      <c r="D9" s="15">
        <v>22.888888888888903</v>
      </c>
      <c r="E9" s="16">
        <v>21.003281762775433</v>
      </c>
      <c r="F9" s="15">
        <v>23.943769093282977</v>
      </c>
      <c r="G9" s="15">
        <v>10.401891252955082</v>
      </c>
      <c r="H9" s="15">
        <v>10.879629629629633</v>
      </c>
      <c r="I9" s="15">
        <v>6.2980030721966216</v>
      </c>
      <c r="K9">
        <v>390</v>
      </c>
      <c r="L9" s="18">
        <f t="shared" si="0"/>
        <v>0.96409921671018295</v>
      </c>
      <c r="M9" s="18">
        <f t="shared" si="1"/>
        <v>0.80111111111111155</v>
      </c>
      <c r="N9" s="18">
        <f t="shared" si="2"/>
        <v>0.73511486169714013</v>
      </c>
      <c r="O9" s="18">
        <f t="shared" si="3"/>
        <v>0.8380319182649042</v>
      </c>
      <c r="P9" s="18">
        <f t="shared" si="4"/>
        <v>0.36406619385342787</v>
      </c>
      <c r="Q9" s="18">
        <f t="shared" si="5"/>
        <v>0.3807870370370372</v>
      </c>
      <c r="R9" s="18">
        <f t="shared" si="6"/>
        <v>0.22043010752688175</v>
      </c>
      <c r="T9">
        <v>390</v>
      </c>
      <c r="U9" s="19">
        <f t="shared" si="7"/>
        <v>24.102480417754574</v>
      </c>
      <c r="V9" s="19">
        <f t="shared" si="8"/>
        <v>19.780521262002754</v>
      </c>
      <c r="W9" s="19">
        <f t="shared" si="9"/>
        <v>10.209928634682502</v>
      </c>
      <c r="X9" s="19">
        <f t="shared" si="10"/>
        <v>14.858721955051493</v>
      </c>
      <c r="Y9" s="19">
        <f t="shared" si="11"/>
        <v>7.1385528206554492</v>
      </c>
      <c r="Z9" s="19">
        <f t="shared" si="12"/>
        <v>6.7997685185185217</v>
      </c>
      <c r="AA9" s="19">
        <f t="shared" si="13"/>
        <v>3.4988905956647898</v>
      </c>
      <c r="AC9">
        <v>390</v>
      </c>
      <c r="AD9" s="6">
        <f t="shared" si="14"/>
        <v>0.13099174140084008</v>
      </c>
      <c r="AE9" s="6">
        <f t="shared" si="15"/>
        <v>0.16552737457742892</v>
      </c>
      <c r="AF9" s="6">
        <f t="shared" si="16"/>
        <v>0.14627404920748571</v>
      </c>
      <c r="AG9" s="6">
        <f t="shared" si="38"/>
        <v>0.23436469960649042</v>
      </c>
      <c r="AH9" s="6">
        <f t="shared" si="17"/>
        <v>0.17118831704209708</v>
      </c>
      <c r="AI9" s="6">
        <f t="shared" si="18"/>
        <v>0.22818015162813832</v>
      </c>
      <c r="AJ9" s="6">
        <f t="shared" si="19"/>
        <v>0.13509230099091854</v>
      </c>
      <c r="AL9">
        <v>390</v>
      </c>
      <c r="AM9" s="19">
        <v>31.748732286873761</v>
      </c>
      <c r="AN9" s="19">
        <v>34.146115589092766</v>
      </c>
      <c r="AO9" s="19">
        <v>53.696759209479374</v>
      </c>
      <c r="AP9" s="19">
        <v>28.406131569288679</v>
      </c>
      <c r="AQ9" s="19">
        <v>30.947376093294466</v>
      </c>
      <c r="AR9" s="19">
        <v>23.81161695447409</v>
      </c>
      <c r="AS9" s="19">
        <v>51.997882949873144</v>
      </c>
      <c r="AU9">
        <v>390</v>
      </c>
      <c r="AV9" s="15">
        <f t="shared" si="20"/>
        <v>0.30608927929316287</v>
      </c>
      <c r="AW9" s="15">
        <f t="shared" si="21"/>
        <v>0.27354832599706558</v>
      </c>
      <c r="AX9" s="15">
        <f t="shared" si="22"/>
        <v>0.39473285719861068</v>
      </c>
      <c r="AY9" s="15">
        <f t="shared" si="23"/>
        <v>0.23805244929496247</v>
      </c>
      <c r="AZ9" s="15">
        <f t="shared" si="24"/>
        <v>0.11266893424036281</v>
      </c>
      <c r="BA9" s="15">
        <f t="shared" si="25"/>
        <v>9.067155067155068E-2</v>
      </c>
      <c r="BB9" s="15">
        <f t="shared" si="26"/>
        <v>0.11461898929810749</v>
      </c>
      <c r="BD9">
        <v>390</v>
      </c>
      <c r="BE9" s="15">
        <f t="shared" si="27"/>
        <v>7.6522319823290719</v>
      </c>
      <c r="BF9" s="15">
        <f t="shared" si="28"/>
        <v>6.7542796542485322</v>
      </c>
      <c r="BG9" s="15">
        <f t="shared" si="29"/>
        <v>5.4824007944251489</v>
      </c>
      <c r="BH9" s="15">
        <f t="shared" si="30"/>
        <v>4.2207881080667109</v>
      </c>
      <c r="BI9" s="15">
        <f t="shared" si="39"/>
        <v>2.2091947890267218</v>
      </c>
      <c r="BJ9" s="15">
        <f t="shared" si="40"/>
        <v>1.6191348334205478</v>
      </c>
      <c r="BK9" s="15">
        <f t="shared" si="41"/>
        <v>1.8193490364778966</v>
      </c>
      <c r="BM9">
        <v>390</v>
      </c>
      <c r="BN9" s="21">
        <f t="shared" si="31"/>
        <v>4.1588217295266697E-2</v>
      </c>
      <c r="BO9" s="21">
        <f t="shared" si="32"/>
        <v>5.6521168654799434E-2</v>
      </c>
      <c r="BP9" s="21">
        <f t="shared" si="33"/>
        <v>7.8544423988898979E-2</v>
      </c>
      <c r="BQ9" s="21">
        <f t="shared" si="34"/>
        <v>6.6573944922187864E-2</v>
      </c>
      <c r="BR9" s="21">
        <f t="shared" si="35"/>
        <v>5.2978292302799081E-2</v>
      </c>
      <c r="BS9" s="21">
        <f t="shared" si="36"/>
        <v>5.4333383671830458E-2</v>
      </c>
      <c r="BT9" s="21">
        <f t="shared" si="37"/>
        <v>7.0245136543548137E-2</v>
      </c>
    </row>
    <row r="10" spans="2:136" x14ac:dyDescent="0.35">
      <c r="B10">
        <v>400</v>
      </c>
      <c r="C10" s="15">
        <v>34.000580214679424</v>
      </c>
      <c r="D10" s="15">
        <v>31.111111111111114</v>
      </c>
      <c r="E10" s="16">
        <v>29.442100328176281</v>
      </c>
      <c r="F10" s="15">
        <v>27.699632347935673</v>
      </c>
      <c r="G10" s="15">
        <v>13.238770685579192</v>
      </c>
      <c r="H10" s="15">
        <v>11.111111111111105</v>
      </c>
      <c r="I10" s="15">
        <v>6.2980030721966287</v>
      </c>
      <c r="K10">
        <v>400</v>
      </c>
      <c r="L10" s="18">
        <f t="shared" si="0"/>
        <v>1.1900203075137799</v>
      </c>
      <c r="M10" s="18">
        <f t="shared" si="1"/>
        <v>1.088888888888889</v>
      </c>
      <c r="N10" s="18">
        <f t="shared" si="2"/>
        <v>1.0304735114861698</v>
      </c>
      <c r="O10" s="18">
        <f t="shared" si="3"/>
        <v>0.96948713217774851</v>
      </c>
      <c r="P10" s="18">
        <f t="shared" si="4"/>
        <v>0.46335697399527176</v>
      </c>
      <c r="Q10" s="18">
        <f t="shared" si="5"/>
        <v>0.38888888888888867</v>
      </c>
      <c r="R10" s="18">
        <f t="shared" si="6"/>
        <v>0.220430107526882</v>
      </c>
      <c r="T10">
        <v>400</v>
      </c>
      <c r="U10" s="19">
        <f t="shared" si="7"/>
        <v>29.750507687844497</v>
      </c>
      <c r="V10" s="19">
        <f t="shared" si="8"/>
        <v>26.886145404663925</v>
      </c>
      <c r="W10" s="19">
        <f t="shared" si="9"/>
        <v>14.312132103974582</v>
      </c>
      <c r="X10" s="19">
        <f t="shared" si="10"/>
        <v>17.189488159179938</v>
      </c>
      <c r="Y10" s="19">
        <f t="shared" si="11"/>
        <v>9.0854308626523874</v>
      </c>
      <c r="Z10" s="19">
        <f t="shared" si="12"/>
        <v>6.9444444444444402</v>
      </c>
      <c r="AA10" s="19">
        <f t="shared" si="13"/>
        <v>3.4988905956647938</v>
      </c>
      <c r="AC10">
        <v>400</v>
      </c>
      <c r="AD10" s="6">
        <f t="shared" si="14"/>
        <v>0.16168754178176356</v>
      </c>
      <c r="AE10" s="6">
        <f t="shared" si="15"/>
        <v>0.22498866447417509</v>
      </c>
      <c r="AF10" s="6">
        <f t="shared" si="16"/>
        <v>0.20504487254977913</v>
      </c>
      <c r="AG10" s="6">
        <f t="shared" si="38"/>
        <v>0.27112757348864258</v>
      </c>
      <c r="AH10" s="6">
        <f t="shared" si="17"/>
        <v>0.21787603987175988</v>
      </c>
      <c r="AI10" s="6">
        <f t="shared" si="18"/>
        <v>0.23303504847128995</v>
      </c>
      <c r="AJ10" s="6">
        <f t="shared" si="19"/>
        <v>0.13509230099091868</v>
      </c>
      <c r="AL10">
        <v>400</v>
      </c>
      <c r="AM10" s="19">
        <v>33.857354283451407</v>
      </c>
      <c r="AN10" s="19">
        <v>32.974003662519586</v>
      </c>
      <c r="AO10" s="19">
        <v>53.367741602783383</v>
      </c>
      <c r="AP10" s="19">
        <v>32.620899116336332</v>
      </c>
      <c r="AQ10" s="19">
        <v>30.797789115646271</v>
      </c>
      <c r="AR10" s="19">
        <v>26.396734693877566</v>
      </c>
      <c r="AS10" s="19">
        <v>56.255392156862683</v>
      </c>
      <c r="AU10">
        <v>400</v>
      </c>
      <c r="AV10" s="15">
        <f t="shared" si="20"/>
        <v>0.40290939155995831</v>
      </c>
      <c r="AW10" s="15">
        <f t="shared" si="21"/>
        <v>0.35905026210299107</v>
      </c>
      <c r="AX10" s="15">
        <f t="shared" si="22"/>
        <v>0.54994044089506733</v>
      </c>
      <c r="AY10" s="15">
        <f t="shared" si="23"/>
        <v>0.3162554193335656</v>
      </c>
      <c r="AZ10" s="15">
        <f t="shared" si="24"/>
        <v>0.14270370370370372</v>
      </c>
      <c r="BA10" s="15">
        <f t="shared" si="25"/>
        <v>0.10265396825396826</v>
      </c>
      <c r="BB10" s="15">
        <f t="shared" si="26"/>
        <v>0.12400382142104155</v>
      </c>
      <c r="BD10">
        <v>400</v>
      </c>
      <c r="BE10" s="15">
        <f t="shared" si="27"/>
        <v>10.072734788998957</v>
      </c>
      <c r="BF10" s="15">
        <f t="shared" si="28"/>
        <v>8.8654385704442245</v>
      </c>
      <c r="BG10" s="15">
        <f t="shared" si="29"/>
        <v>7.6380616790981577</v>
      </c>
      <c r="BH10" s="15">
        <f t="shared" si="30"/>
        <v>5.6073655910206668</v>
      </c>
      <c r="BI10" s="15">
        <f t="shared" si="39"/>
        <v>2.7981118373275242</v>
      </c>
      <c r="BJ10" s="15">
        <f t="shared" si="40"/>
        <v>1.8331065759637188</v>
      </c>
      <c r="BK10" s="15">
        <f t="shared" si="41"/>
        <v>1.9683146257308182</v>
      </c>
      <c r="BM10">
        <v>400</v>
      </c>
      <c r="BN10" s="21">
        <f t="shared" si="31"/>
        <v>5.47431238532552E-2</v>
      </c>
      <c r="BO10" s="21">
        <f t="shared" si="32"/>
        <v>7.4187770463968405E-2</v>
      </c>
      <c r="BP10" s="21">
        <f t="shared" si="33"/>
        <v>0.10942781775212261</v>
      </c>
      <c r="BQ10" s="21">
        <f t="shared" si="34"/>
        <v>8.8444252224300746E-2</v>
      </c>
      <c r="BR10" s="21">
        <f t="shared" si="35"/>
        <v>6.7101003293225991E-2</v>
      </c>
      <c r="BS10" s="21">
        <f t="shared" si="36"/>
        <v>6.1513643488715394E-2</v>
      </c>
      <c r="BT10" s="21">
        <f t="shared" si="37"/>
        <v>7.5996703696170592E-2</v>
      </c>
    </row>
    <row r="11" spans="2:136" x14ac:dyDescent="0.35">
      <c r="B11">
        <v>410</v>
      </c>
      <c r="C11" s="15">
        <v>47.345517841601392</v>
      </c>
      <c r="D11" s="15">
        <v>40.200000000000003</v>
      </c>
      <c r="E11" s="16">
        <v>48.335677449601498</v>
      </c>
      <c r="F11" s="15">
        <v>37.863937280839515</v>
      </c>
      <c r="G11" s="15">
        <v>16.07565011820331</v>
      </c>
      <c r="H11" s="15">
        <v>14.583333333333329</v>
      </c>
      <c r="I11" s="15">
        <v>8.602150537634401</v>
      </c>
      <c r="K11">
        <v>410</v>
      </c>
      <c r="L11" s="18">
        <f t="shared" si="0"/>
        <v>1.6570931244560487</v>
      </c>
      <c r="M11" s="18">
        <f t="shared" si="1"/>
        <v>1.407</v>
      </c>
      <c r="N11" s="18">
        <f t="shared" si="2"/>
        <v>1.6917487107360525</v>
      </c>
      <c r="O11" s="18">
        <f t="shared" si="3"/>
        <v>1.3252378048293831</v>
      </c>
      <c r="P11" s="18">
        <f t="shared" si="4"/>
        <v>0.56264775413711587</v>
      </c>
      <c r="Q11" s="18">
        <f t="shared" si="5"/>
        <v>0.51041666666666652</v>
      </c>
      <c r="R11" s="18">
        <f t="shared" si="6"/>
        <v>0.30107526881720403</v>
      </c>
      <c r="T11">
        <v>410</v>
      </c>
      <c r="U11" s="19">
        <f t="shared" si="7"/>
        <v>41.427328111401216</v>
      </c>
      <c r="V11" s="19">
        <f t="shared" si="8"/>
        <v>34.74074074074074</v>
      </c>
      <c r="W11" s="19">
        <f t="shared" si="9"/>
        <v>23.496509871334062</v>
      </c>
      <c r="X11" s="19">
        <f t="shared" si="10"/>
        <v>23.49712419910254</v>
      </c>
      <c r="Y11" s="19">
        <f t="shared" si="11"/>
        <v>11.032308904649332</v>
      </c>
      <c r="Z11" s="19">
        <f t="shared" si="12"/>
        <v>9.1145833333333304</v>
      </c>
      <c r="AA11" s="19">
        <f t="shared" si="13"/>
        <v>4.7789725209080007</v>
      </c>
      <c r="AC11">
        <v>410</v>
      </c>
      <c r="AD11" s="6">
        <f t="shared" si="14"/>
        <v>0.22514852234457183</v>
      </c>
      <c r="AE11" s="6">
        <f t="shared" si="15"/>
        <v>0.29071749573841627</v>
      </c>
      <c r="AF11" s="6">
        <f t="shared" si="16"/>
        <v>0.33662621592169145</v>
      </c>
      <c r="AG11" s="6">
        <f t="shared" si="38"/>
        <v>0.37061710093221673</v>
      </c>
      <c r="AH11" s="6">
        <f t="shared" si="17"/>
        <v>0.26456376270142279</v>
      </c>
      <c r="AI11" s="6">
        <f t="shared" si="18"/>
        <v>0.3058585011185681</v>
      </c>
      <c r="AJ11" s="6">
        <f t="shared" si="19"/>
        <v>0.18451631354857145</v>
      </c>
      <c r="AL11">
        <v>410</v>
      </c>
      <c r="AM11" s="19">
        <v>30.268172023606024</v>
      </c>
      <c r="AN11" s="19">
        <v>33.312893604345966</v>
      </c>
      <c r="AO11" s="19">
        <v>40.829620902706893</v>
      </c>
      <c r="AP11" s="19">
        <v>30.28920965934411</v>
      </c>
      <c r="AQ11" s="19">
        <v>34.872890992145649</v>
      </c>
      <c r="AR11" s="19">
        <v>26.220531721460528</v>
      </c>
      <c r="AS11" s="19">
        <v>67.472448979591903</v>
      </c>
      <c r="AU11">
        <v>410</v>
      </c>
      <c r="AV11" s="15">
        <f t="shared" si="20"/>
        <v>0.50157179750170466</v>
      </c>
      <c r="AW11" s="15">
        <f t="shared" si="21"/>
        <v>0.46871241301314781</v>
      </c>
      <c r="AX11" s="15">
        <f t="shared" si="22"/>
        <v>0.69073458521996156</v>
      </c>
      <c r="AY11" s="15">
        <f t="shared" si="23"/>
        <v>0.40140405718966127</v>
      </c>
      <c r="AZ11" s="15">
        <f t="shared" si="24"/>
        <v>0.19621153796999211</v>
      </c>
      <c r="BA11" s="15">
        <f t="shared" si="25"/>
        <v>0.13383396399495473</v>
      </c>
      <c r="BB11" s="15">
        <f t="shared" si="26"/>
        <v>0.20314285714285715</v>
      </c>
      <c r="BD11">
        <v>410</v>
      </c>
      <c r="BE11" s="15">
        <f t="shared" si="27"/>
        <v>12.539294937542616</v>
      </c>
      <c r="BF11" s="15">
        <f t="shared" si="28"/>
        <v>11.573146000324638</v>
      </c>
      <c r="BG11" s="15">
        <f t="shared" si="29"/>
        <v>9.5935359058328</v>
      </c>
      <c r="BH11" s="15">
        <f t="shared" si="30"/>
        <v>7.1170932125826472</v>
      </c>
      <c r="BI11" s="15">
        <f t="shared" si="39"/>
        <v>3.8472850582351397</v>
      </c>
      <c r="BJ11" s="15">
        <f t="shared" si="40"/>
        <v>2.38989221419562</v>
      </c>
      <c r="BK11" s="15">
        <f t="shared" si="41"/>
        <v>3.2244897959183674</v>
      </c>
      <c r="BM11">
        <v>410</v>
      </c>
      <c r="BN11" s="21">
        <f t="shared" si="31"/>
        <v>6.8148342051862043E-2</v>
      </c>
      <c r="BO11" s="21">
        <f t="shared" si="32"/>
        <v>9.6846410044557643E-2</v>
      </c>
      <c r="BP11" s="21">
        <f t="shared" si="33"/>
        <v>0.13744320781995417</v>
      </c>
      <c r="BQ11" s="21">
        <f t="shared" si="34"/>
        <v>0.11225699073474207</v>
      </c>
      <c r="BR11" s="21">
        <f t="shared" si="35"/>
        <v>9.2261032571586077E-2</v>
      </c>
      <c r="BS11" s="21">
        <f t="shared" si="36"/>
        <v>8.0197725308577855E-2</v>
      </c>
      <c r="BT11" s="21">
        <f t="shared" si="37"/>
        <v>0.12449767551808369</v>
      </c>
    </row>
    <row r="12" spans="2:136" x14ac:dyDescent="0.35">
      <c r="B12">
        <v>425</v>
      </c>
      <c r="C12" s="16">
        <v>66.05744125326369</v>
      </c>
      <c r="D12" s="15">
        <v>59.5</v>
      </c>
      <c r="E12" s="16">
        <v>71.64205344585092</v>
      </c>
      <c r="F12" s="15">
        <v>54.272364874603461</v>
      </c>
      <c r="G12" s="15">
        <v>25.768321513002363</v>
      </c>
      <c r="H12" s="15">
        <v>27.546296296296291</v>
      </c>
      <c r="I12" s="15">
        <v>18.394777265745009</v>
      </c>
      <c r="K12">
        <v>425</v>
      </c>
      <c r="L12" s="18">
        <f t="shared" si="0"/>
        <v>2.3120104438642293</v>
      </c>
      <c r="M12" s="18">
        <f t="shared" si="1"/>
        <v>2.0825</v>
      </c>
      <c r="N12" s="18">
        <f t="shared" si="2"/>
        <v>2.5074718706047823</v>
      </c>
      <c r="O12" s="18">
        <f t="shared" si="3"/>
        <v>1.8995327706111211</v>
      </c>
      <c r="P12" s="18">
        <f t="shared" si="4"/>
        <v>0.90189125295508266</v>
      </c>
      <c r="Q12" s="18">
        <f t="shared" si="5"/>
        <v>0.96412037037037024</v>
      </c>
      <c r="R12" s="18">
        <f t="shared" si="6"/>
        <v>0.64381720430107536</v>
      </c>
      <c r="T12">
        <v>425</v>
      </c>
      <c r="U12" s="19">
        <f t="shared" si="7"/>
        <v>57.80026109660573</v>
      </c>
      <c r="V12" s="19">
        <f t="shared" si="8"/>
        <v>51.419753086419753</v>
      </c>
      <c r="W12" s="19">
        <f t="shared" si="9"/>
        <v>34.825998202844204</v>
      </c>
      <c r="X12" s="19">
        <f t="shared" si="10"/>
        <v>33.679659053388676</v>
      </c>
      <c r="Y12" s="19">
        <f t="shared" si="11"/>
        <v>17.684142214805544</v>
      </c>
      <c r="Z12" s="19">
        <f t="shared" si="12"/>
        <v>17.216435185185183</v>
      </c>
      <c r="AA12" s="19">
        <f t="shared" si="13"/>
        <v>10.219320703191672</v>
      </c>
      <c r="AC12">
        <v>425</v>
      </c>
      <c r="AD12" s="6">
        <f t="shared" si="14"/>
        <v>0.31413185378590069</v>
      </c>
      <c r="AE12" s="6">
        <f t="shared" si="15"/>
        <v>0.43029082080685987</v>
      </c>
      <c r="AF12" s="6">
        <f t="shared" si="16"/>
        <v>0.49893980233301155</v>
      </c>
      <c r="AG12" s="6">
        <f t="shared" si="38"/>
        <v>0.53122490620486873</v>
      </c>
      <c r="AH12" s="6">
        <f t="shared" si="17"/>
        <v>0.42408014903610414</v>
      </c>
      <c r="AI12" s="6">
        <f t="shared" si="18"/>
        <v>0.57773272433507328</v>
      </c>
      <c r="AJ12" s="6">
        <f t="shared" si="19"/>
        <v>0.39456836691859737</v>
      </c>
      <c r="AL12">
        <v>425</v>
      </c>
      <c r="AM12" s="19">
        <v>24.310744247610113</v>
      </c>
      <c r="AN12" s="19">
        <v>31.98021194394406</v>
      </c>
      <c r="AO12" s="19">
        <v>33.662526843580402</v>
      </c>
      <c r="AP12" s="19">
        <v>29.333306486932511</v>
      </c>
      <c r="AQ12" s="19">
        <v>35.779394063389766</v>
      </c>
      <c r="AR12" s="19">
        <v>20.291616954474101</v>
      </c>
      <c r="AS12" s="19">
        <v>42.611244037845019</v>
      </c>
      <c r="AU12">
        <v>425</v>
      </c>
      <c r="AV12" s="15">
        <f t="shared" si="20"/>
        <v>0.56206694598586815</v>
      </c>
      <c r="AW12" s="15">
        <f t="shared" si="21"/>
        <v>0.665987913732635</v>
      </c>
      <c r="AX12" s="15">
        <f t="shared" si="22"/>
        <v>0.84407839153756248</v>
      </c>
      <c r="AY12" s="15">
        <f t="shared" si="23"/>
        <v>0.5571957694230808</v>
      </c>
      <c r="AZ12" s="15">
        <f t="shared" si="24"/>
        <v>0.32269122541804246</v>
      </c>
      <c r="BA12" s="15">
        <f t="shared" si="25"/>
        <v>0.19563561253561254</v>
      </c>
      <c r="BB12" s="15">
        <f t="shared" si="26"/>
        <v>0.27433852008236248</v>
      </c>
      <c r="BD12">
        <v>425</v>
      </c>
      <c r="BE12" s="15">
        <f t="shared" si="27"/>
        <v>14.051673649646704</v>
      </c>
      <c r="BF12" s="15">
        <f t="shared" si="28"/>
        <v>16.444146018089754</v>
      </c>
      <c r="BG12" s="15">
        <f t="shared" si="29"/>
        <v>11.723310993577257</v>
      </c>
      <c r="BH12" s="15">
        <f t="shared" si="30"/>
        <v>9.8793576138844124</v>
      </c>
      <c r="BI12" s="15">
        <f t="shared" si="39"/>
        <v>6.327278929765539</v>
      </c>
      <c r="BJ12" s="15">
        <f t="shared" si="40"/>
        <v>3.4934930809930811</v>
      </c>
      <c r="BK12" s="15">
        <f t="shared" si="41"/>
        <v>4.3545796838470237</v>
      </c>
      <c r="BM12">
        <v>425</v>
      </c>
      <c r="BN12" s="21">
        <f t="shared" si="31"/>
        <v>7.6367791574166871E-2</v>
      </c>
      <c r="BO12" s="21">
        <f t="shared" si="32"/>
        <v>0.13760791646937032</v>
      </c>
      <c r="BP12" s="21">
        <f t="shared" si="33"/>
        <v>0.167955744893657</v>
      </c>
      <c r="BQ12" s="21">
        <f t="shared" si="34"/>
        <v>0.15582582987199389</v>
      </c>
      <c r="BR12" s="21">
        <f t="shared" si="35"/>
        <v>0.15173330766823834</v>
      </c>
      <c r="BS12" s="21">
        <f t="shared" si="36"/>
        <v>0.11723131144272084</v>
      </c>
      <c r="BT12" s="21">
        <f t="shared" si="37"/>
        <v>0.16813048972382333</v>
      </c>
    </row>
    <row r="13" spans="2:136" x14ac:dyDescent="0.35">
      <c r="B13">
        <v>450</v>
      </c>
      <c r="C13" s="15">
        <v>95.735422106179286</v>
      </c>
      <c r="D13" s="15">
        <v>92.25500000000001</v>
      </c>
      <c r="E13" s="16">
        <v>81.293952180028128</v>
      </c>
      <c r="F13" s="15">
        <v>80.14087304102388</v>
      </c>
      <c r="G13" s="15">
        <v>51.347517730496449</v>
      </c>
      <c r="H13" s="15">
        <v>41.562499999999993</v>
      </c>
      <c r="I13" s="15">
        <v>30.337941628264215</v>
      </c>
      <c r="K13">
        <v>450</v>
      </c>
      <c r="L13" s="18">
        <f t="shared" si="0"/>
        <v>3.350739773716275</v>
      </c>
      <c r="M13" s="18">
        <f t="shared" si="1"/>
        <v>3.2289250000000003</v>
      </c>
      <c r="N13" s="18">
        <f t="shared" si="2"/>
        <v>2.8452883263009845</v>
      </c>
      <c r="O13" s="18">
        <f t="shared" si="3"/>
        <v>2.8049305564358358</v>
      </c>
      <c r="P13" s="18">
        <f t="shared" si="4"/>
        <v>1.7971631205673757</v>
      </c>
      <c r="Q13" s="18">
        <f t="shared" si="5"/>
        <v>1.4546874999999997</v>
      </c>
      <c r="R13" s="18">
        <f t="shared" si="6"/>
        <v>1.0618279569892475</v>
      </c>
      <c r="T13">
        <v>450</v>
      </c>
      <c r="U13" s="19">
        <f t="shared" si="7"/>
        <v>83.768494342906877</v>
      </c>
      <c r="V13" s="19">
        <f t="shared" si="8"/>
        <v>79.726543209876553</v>
      </c>
      <c r="W13" s="19">
        <f t="shared" si="9"/>
        <v>39.51789342084701</v>
      </c>
      <c r="X13" s="19">
        <f t="shared" si="10"/>
        <v>49.732811284323333</v>
      </c>
      <c r="Y13" s="19">
        <f t="shared" si="11"/>
        <v>35.238492560144621</v>
      </c>
      <c r="Z13" s="19">
        <f t="shared" si="12"/>
        <v>25.976562499999993</v>
      </c>
      <c r="AA13" s="19">
        <f t="shared" si="13"/>
        <v>16.854412015702341</v>
      </c>
      <c r="AC13">
        <v>450</v>
      </c>
      <c r="AD13" s="6">
        <f t="shared" si="14"/>
        <v>0.45526355621145043</v>
      </c>
      <c r="AE13" s="6">
        <f t="shared" si="15"/>
        <v>0.66716772560566151</v>
      </c>
      <c r="AF13" s="6">
        <f t="shared" si="16"/>
        <v>0.56615893153075947</v>
      </c>
      <c r="AG13" s="6">
        <f t="shared" si="38"/>
        <v>0.78442920006819139</v>
      </c>
      <c r="AH13" s="6">
        <f t="shared" si="17"/>
        <v>0.84504778321689733</v>
      </c>
      <c r="AI13" s="6">
        <f t="shared" si="18"/>
        <v>0.87169672818791921</v>
      </c>
      <c r="AJ13" s="6">
        <f t="shared" si="19"/>
        <v>0.65074949867576604</v>
      </c>
      <c r="AL13">
        <v>450</v>
      </c>
      <c r="AM13" s="19">
        <v>47.921187384044522</v>
      </c>
      <c r="AN13" s="19">
        <v>49.499037300939676</v>
      </c>
      <c r="AO13" s="19">
        <v>46.439703997438983</v>
      </c>
      <c r="AP13" s="19">
        <v>50.999298978883608</v>
      </c>
      <c r="AQ13" s="19">
        <v>32.187549924646532</v>
      </c>
      <c r="AR13" s="19">
        <v>31.248918361947066</v>
      </c>
      <c r="AS13" s="19">
        <v>49.293895802366002</v>
      </c>
      <c r="AU13">
        <v>450</v>
      </c>
      <c r="AV13" s="15">
        <f t="shared" si="20"/>
        <v>1.6057142857142856</v>
      </c>
      <c r="AW13" s="15">
        <f t="shared" si="21"/>
        <v>1.5982867901693667</v>
      </c>
      <c r="AX13" s="15">
        <f t="shared" si="22"/>
        <v>1.3213434766078629</v>
      </c>
      <c r="AY13" s="15">
        <f t="shared" si="23"/>
        <v>1.4304949206267756</v>
      </c>
      <c r="AZ13" s="15">
        <f t="shared" si="24"/>
        <v>0.5784627766599596</v>
      </c>
      <c r="BA13" s="15">
        <f t="shared" si="25"/>
        <v>0.45457410929644859</v>
      </c>
      <c r="BB13" s="15">
        <f t="shared" si="26"/>
        <v>0.52341636671867131</v>
      </c>
      <c r="BD13">
        <v>450</v>
      </c>
      <c r="BE13" s="15">
        <f t="shared" si="27"/>
        <v>40.142857142857139</v>
      </c>
      <c r="BF13" s="15">
        <f t="shared" si="28"/>
        <v>39.463871362206582</v>
      </c>
      <c r="BG13" s="15">
        <f t="shared" si="29"/>
        <v>18.351992730664765</v>
      </c>
      <c r="BH13" s="15">
        <f t="shared" si="30"/>
        <v>25.363385117496023</v>
      </c>
      <c r="BI13" s="15">
        <f t="shared" si="39"/>
        <v>11.342407385489405</v>
      </c>
      <c r="BJ13" s="15">
        <f t="shared" si="40"/>
        <v>8.1173948088651535</v>
      </c>
      <c r="BK13" s="15">
        <f t="shared" si="41"/>
        <v>8.308196297121766</v>
      </c>
      <c r="BM13">
        <v>450</v>
      </c>
      <c r="BN13" s="21">
        <f t="shared" si="31"/>
        <v>0.21816770186335402</v>
      </c>
      <c r="BO13" s="21">
        <f t="shared" si="32"/>
        <v>0.33024160135737723</v>
      </c>
      <c r="BP13" s="21">
        <f t="shared" si="33"/>
        <v>0.26292253195794796</v>
      </c>
      <c r="BQ13" s="21">
        <f t="shared" si="34"/>
        <v>0.40005339302044202</v>
      </c>
      <c r="BR13" s="21">
        <f t="shared" si="35"/>
        <v>0.27200017711005764</v>
      </c>
      <c r="BS13" s="21">
        <f t="shared" si="36"/>
        <v>0.27239579895520649</v>
      </c>
      <c r="BT13" s="21">
        <f t="shared" si="37"/>
        <v>0.32077977981165123</v>
      </c>
    </row>
    <row r="14" spans="2:136" x14ac:dyDescent="0.35">
      <c r="U14" s="19">
        <f>U10/(100/U15)</f>
        <v>1.1900203075137799</v>
      </c>
      <c r="V14" s="19">
        <f t="shared" ref="V14:AA14" si="42">V10/(100/V15)</f>
        <v>2.177777777777778</v>
      </c>
      <c r="W14" s="19">
        <f t="shared" si="42"/>
        <v>2.0609470229723397</v>
      </c>
      <c r="X14" s="19">
        <f t="shared" si="42"/>
        <v>4.8130566845703822</v>
      </c>
      <c r="Y14" s="19">
        <f t="shared" si="42"/>
        <v>3.2980114031428163</v>
      </c>
      <c r="Z14" s="19">
        <f t="shared" si="42"/>
        <v>3.881944444444442</v>
      </c>
      <c r="AA14" s="19">
        <f t="shared" si="42"/>
        <v>2.2182966376514792</v>
      </c>
      <c r="AD14" s="6">
        <f t="shared" si="14"/>
        <v>6.4675016712705423E-3</v>
      </c>
    </row>
    <row r="15" spans="2:136" x14ac:dyDescent="0.35">
      <c r="M15" t="s">
        <v>19</v>
      </c>
      <c r="U15">
        <v>4</v>
      </c>
      <c r="V15">
        <v>8.1</v>
      </c>
      <c r="W15">
        <v>14.4</v>
      </c>
      <c r="X15">
        <v>28</v>
      </c>
      <c r="Y15">
        <v>36.299999999999997</v>
      </c>
      <c r="Z15">
        <v>55.9</v>
      </c>
      <c r="AA15">
        <v>63.4</v>
      </c>
    </row>
    <row r="16" spans="2:136" x14ac:dyDescent="0.35">
      <c r="K16">
        <v>300</v>
      </c>
      <c r="L16">
        <f t="shared" ref="L16:R22" si="43">L5*60</f>
        <v>1.6449086161879818</v>
      </c>
      <c r="M16">
        <f t="shared" si="43"/>
        <v>2.1290587751746677</v>
      </c>
      <c r="N16">
        <f t="shared" si="43"/>
        <v>2.592592592592617</v>
      </c>
      <c r="O16">
        <f t="shared" si="43"/>
        <v>0</v>
      </c>
      <c r="P16">
        <f t="shared" si="43"/>
        <v>0</v>
      </c>
      <c r="Q16">
        <f t="shared" si="43"/>
        <v>0</v>
      </c>
      <c r="R16">
        <f t="shared" si="43"/>
        <v>0</v>
      </c>
      <c r="AL16" s="34"/>
      <c r="AM16" s="34" t="s">
        <v>93</v>
      </c>
      <c r="AN16" s="34"/>
      <c r="AO16" s="34"/>
      <c r="AP16" s="34"/>
      <c r="AQ16" s="34"/>
      <c r="AR16" s="34"/>
      <c r="AS16" s="34"/>
      <c r="AV16" t="s">
        <v>94</v>
      </c>
      <c r="BD16" t="s">
        <v>18</v>
      </c>
      <c r="BF16">
        <v>0.5</v>
      </c>
      <c r="BG16">
        <v>0.5</v>
      </c>
      <c r="BH16">
        <v>0.23</v>
      </c>
      <c r="BI16">
        <v>0.15</v>
      </c>
      <c r="BJ16">
        <v>0.1</v>
      </c>
      <c r="BK16">
        <v>0.1</v>
      </c>
    </row>
    <row r="17" spans="11:63" x14ac:dyDescent="0.35">
      <c r="K17">
        <v>325</v>
      </c>
      <c r="L17">
        <f t="shared" si="43"/>
        <v>10.783289817232372</v>
      </c>
      <c r="M17">
        <f t="shared" si="43"/>
        <v>4.6666666666666901</v>
      </c>
      <c r="N17">
        <f t="shared" si="43"/>
        <v>5.7102672292545895</v>
      </c>
      <c r="O17">
        <f t="shared" si="43"/>
        <v>7.3946515568288076</v>
      </c>
      <c r="P17">
        <f t="shared" si="43"/>
        <v>3.723404255319156</v>
      </c>
      <c r="Q17">
        <f t="shared" si="43"/>
        <v>2.18749999999998</v>
      </c>
      <c r="R17">
        <f t="shared" si="43"/>
        <v>0</v>
      </c>
      <c r="AL17" s="34">
        <v>300</v>
      </c>
      <c r="AM17" s="34"/>
      <c r="AN17" s="34"/>
      <c r="AO17" s="34"/>
      <c r="AP17" s="34"/>
      <c r="AQ17" s="34"/>
      <c r="AR17" s="34"/>
      <c r="AS17" s="34"/>
      <c r="AU17">
        <v>300</v>
      </c>
      <c r="AV17" s="15">
        <f>((AM17/100)*(C5/100))*3.5</f>
        <v>0</v>
      </c>
      <c r="AW17" s="15">
        <f t="shared" ref="AW17:BB22" si="44">((AN17/100)*(D5/100))*3.5</f>
        <v>0</v>
      </c>
      <c r="AX17" s="15">
        <f t="shared" si="44"/>
        <v>0</v>
      </c>
      <c r="AY17" s="15">
        <f t="shared" si="44"/>
        <v>0</v>
      </c>
      <c r="AZ17" s="15">
        <f t="shared" si="44"/>
        <v>0</v>
      </c>
      <c r="BA17" s="15">
        <f t="shared" si="44"/>
        <v>0</v>
      </c>
      <c r="BB17" s="15">
        <f t="shared" si="44"/>
        <v>0</v>
      </c>
      <c r="BD17">
        <v>300</v>
      </c>
      <c r="BE17" s="15">
        <f t="shared" ref="BE17:BE25" si="45">AV17/0.04</f>
        <v>0</v>
      </c>
      <c r="BF17" s="15">
        <f t="shared" ref="BF17:BF25" si="46">AW17/0.0405</f>
        <v>0</v>
      </c>
      <c r="BG17" s="15">
        <f t="shared" ref="BG17:BG25" si="47">AX17/0.072</f>
        <v>0</v>
      </c>
      <c r="BH17" s="15">
        <f t="shared" ref="BH17:BH25" si="48">AY17/0.0564</f>
        <v>0</v>
      </c>
      <c r="BI17" s="15">
        <f>AZ17/0.051</f>
        <v>0</v>
      </c>
      <c r="BJ17" s="15">
        <f>BA17/0.056</f>
        <v>0</v>
      </c>
      <c r="BK17" s="15">
        <f>BB17/0.063</f>
        <v>0</v>
      </c>
    </row>
    <row r="18" spans="11:63" x14ac:dyDescent="0.35">
      <c r="K18">
        <v>350</v>
      </c>
      <c r="L18">
        <f t="shared" si="43"/>
        <v>21.292428198433406</v>
      </c>
      <c r="M18">
        <f t="shared" si="43"/>
        <v>11.666666666666679</v>
      </c>
      <c r="N18">
        <f t="shared" si="43"/>
        <v>9.6483825597749746</v>
      </c>
      <c r="O18">
        <f t="shared" si="43"/>
        <v>11.338307974214135</v>
      </c>
      <c r="P18">
        <f t="shared" si="43"/>
        <v>6.9503546099290689</v>
      </c>
      <c r="Q18">
        <f t="shared" si="43"/>
        <v>1.4583333333333</v>
      </c>
      <c r="R18">
        <f t="shared" si="43"/>
        <v>4.3548387096774297</v>
      </c>
      <c r="AL18" s="34">
        <v>325</v>
      </c>
      <c r="AM18" s="34">
        <v>42.192766105809497</v>
      </c>
      <c r="AN18" s="34">
        <v>24.459587891772685</v>
      </c>
      <c r="AO18" s="34">
        <v>41.919486058324743</v>
      </c>
      <c r="AP18" s="34">
        <v>14.908855991791503</v>
      </c>
      <c r="AQ18" s="34">
        <v>11.116027259302243</v>
      </c>
      <c r="AR18" s="34">
        <v>14.581450451017686</v>
      </c>
      <c r="AS18" s="34"/>
      <c r="AU18">
        <v>325</v>
      </c>
      <c r="AV18" s="15">
        <f t="shared" ref="AV18:AV22" si="49">((AM18/100)*(C6/100))*3.5</f>
        <v>7.5829470851607128E-2</v>
      </c>
      <c r="AW18" s="15">
        <f>((AN18/100)*(D6/100))*3.5</f>
        <v>1.9024123915823296E-2</v>
      </c>
      <c r="AX18" s="15">
        <f t="shared" si="44"/>
        <v>3.9895244584341079E-2</v>
      </c>
      <c r="AY18" s="15">
        <f t="shared" si="44"/>
        <v>1.8374299195039589E-2</v>
      </c>
      <c r="AZ18" s="15">
        <f t="shared" si="44"/>
        <v>6.8982438665882839E-3</v>
      </c>
      <c r="BA18" s="15">
        <f t="shared" si="44"/>
        <v>5.3161538102668169E-3</v>
      </c>
      <c r="BB18" s="15">
        <f t="shared" si="44"/>
        <v>0</v>
      </c>
      <c r="BD18">
        <v>325</v>
      </c>
      <c r="BE18" s="15">
        <f t="shared" si="45"/>
        <v>1.8957367712901783</v>
      </c>
      <c r="BF18" s="15">
        <f t="shared" si="46"/>
        <v>0.46973145471168631</v>
      </c>
      <c r="BG18" s="15">
        <f t="shared" si="47"/>
        <v>0.55410061922695952</v>
      </c>
      <c r="BH18" s="15">
        <f t="shared" si="48"/>
        <v>0.32578544672056009</v>
      </c>
      <c r="BI18" s="15">
        <f t="shared" ref="BI18:BI25" si="50">AZ18/0.051</f>
        <v>0.13525968365859381</v>
      </c>
      <c r="BJ18" s="15">
        <f t="shared" ref="BJ18:BJ25" si="51">BA18/0.056</f>
        <v>9.4931318040478871E-2</v>
      </c>
      <c r="BK18" s="15">
        <f t="shared" ref="BK18:BK25" si="52">BB18/0.063</f>
        <v>0</v>
      </c>
    </row>
    <row r="19" spans="11:63" x14ac:dyDescent="0.35">
      <c r="K19">
        <v>375</v>
      </c>
      <c r="L19">
        <f t="shared" si="43"/>
        <v>40.026109660574392</v>
      </c>
      <c r="M19">
        <f t="shared" si="43"/>
        <v>31.733333333333352</v>
      </c>
      <c r="N19">
        <f t="shared" si="43"/>
        <v>22.939521800281312</v>
      </c>
      <c r="O19">
        <f t="shared" si="43"/>
        <v>38.450945843738275</v>
      </c>
      <c r="P19">
        <f t="shared" si="43"/>
        <v>14.521276595744675</v>
      </c>
      <c r="Q19">
        <f t="shared" si="43"/>
        <v>17.986111111111128</v>
      </c>
      <c r="R19">
        <f t="shared" si="43"/>
        <v>6.7741935483871121</v>
      </c>
      <c r="AL19" s="34">
        <v>350</v>
      </c>
      <c r="AM19" s="34">
        <v>51.69971448101424</v>
      </c>
      <c r="AN19" s="34">
        <v>47.818833581138108</v>
      </c>
      <c r="AO19" s="34">
        <v>72.036302214778161</v>
      </c>
      <c r="AP19" s="34">
        <v>44.775003148281023</v>
      </c>
      <c r="AQ19" s="34">
        <v>26.152236603504647</v>
      </c>
      <c r="AR19" s="34">
        <v>54.713760501802632</v>
      </c>
      <c r="AS19" s="34">
        <v>87.887234446000036</v>
      </c>
      <c r="AU19">
        <v>350</v>
      </c>
      <c r="AV19" s="15">
        <f t="shared" si="49"/>
        <v>0.1834687430777506</v>
      </c>
      <c r="AW19" s="15">
        <f t="shared" si="44"/>
        <v>9.2981065296657534E-2</v>
      </c>
      <c r="AX19" s="15">
        <f t="shared" si="44"/>
        <v>0.11583896699329083</v>
      </c>
      <c r="AY19" s="15">
        <f t="shared" si="44"/>
        <v>8.4612129206936296E-2</v>
      </c>
      <c r="AZ19" s="15">
        <f t="shared" si="44"/>
        <v>3.0294553039520711E-2</v>
      </c>
      <c r="BA19" s="15">
        <f t="shared" si="44"/>
        <v>1.3298483455298948E-2</v>
      </c>
      <c r="BB19" s="15">
        <f t="shared" si="44"/>
        <v>6.3789121775322755E-2</v>
      </c>
      <c r="BD19">
        <v>350</v>
      </c>
      <c r="BE19" s="15">
        <f t="shared" si="45"/>
        <v>4.5867185769437651</v>
      </c>
      <c r="BF19" s="15">
        <f t="shared" si="46"/>
        <v>2.2958287727569759</v>
      </c>
      <c r="BG19" s="15">
        <f t="shared" si="47"/>
        <v>1.6088745415734838</v>
      </c>
      <c r="BH19" s="15">
        <f t="shared" si="48"/>
        <v>1.5002150568605725</v>
      </c>
      <c r="BI19" s="15">
        <f t="shared" si="50"/>
        <v>0.59401084391217085</v>
      </c>
      <c r="BJ19" s="15">
        <f t="shared" si="51"/>
        <v>0.23747291884462407</v>
      </c>
      <c r="BK19" s="15">
        <f t="shared" si="52"/>
        <v>1.0125257424654406</v>
      </c>
    </row>
    <row r="20" spans="11:63" x14ac:dyDescent="0.35">
      <c r="K20">
        <v>390</v>
      </c>
      <c r="L20">
        <f t="shared" si="43"/>
        <v>57.845953002610976</v>
      </c>
      <c r="M20">
        <f t="shared" si="43"/>
        <v>48.066666666666691</v>
      </c>
      <c r="N20">
        <f t="shared" si="43"/>
        <v>44.10689170182841</v>
      </c>
      <c r="O20">
        <f t="shared" si="43"/>
        <v>50.281915095894249</v>
      </c>
      <c r="P20">
        <f t="shared" si="43"/>
        <v>21.843971631205672</v>
      </c>
      <c r="Q20">
        <f t="shared" si="43"/>
        <v>22.847222222222232</v>
      </c>
      <c r="R20">
        <f t="shared" si="43"/>
        <v>13.225806451612904</v>
      </c>
      <c r="AL20" s="34">
        <v>375</v>
      </c>
      <c r="AM20" s="34">
        <v>58.522102575328468</v>
      </c>
      <c r="AN20" s="34">
        <v>54.755097933531907</v>
      </c>
      <c r="AO20" s="34">
        <v>100</v>
      </c>
      <c r="AP20" s="34">
        <v>40.529503070219683</v>
      </c>
      <c r="AQ20" s="34">
        <v>57.521882606755362</v>
      </c>
      <c r="AR20" s="34">
        <v>39.600405342633088</v>
      </c>
      <c r="AS20" s="34">
        <v>84.186448480000649</v>
      </c>
      <c r="AU20">
        <v>375</v>
      </c>
      <c r="AV20" s="15">
        <f t="shared" si="49"/>
        <v>0.39040201587458007</v>
      </c>
      <c r="AW20" s="15">
        <f t="shared" si="44"/>
        <v>0.28959362907068004</v>
      </c>
      <c r="AX20" s="15">
        <f t="shared" si="44"/>
        <v>0.38232536333802186</v>
      </c>
      <c r="AY20" s="15">
        <f t="shared" si="44"/>
        <v>0.25973295460444018</v>
      </c>
      <c r="AZ20" s="15">
        <f t="shared" si="44"/>
        <v>0.13921519460677489</v>
      </c>
      <c r="BA20" s="15">
        <f t="shared" si="44"/>
        <v>0.11870954842293958</v>
      </c>
      <c r="BB20" s="15">
        <f t="shared" si="44"/>
        <v>9.5049216025807404E-2</v>
      </c>
      <c r="BD20">
        <v>375</v>
      </c>
      <c r="BE20" s="15">
        <f t="shared" si="45"/>
        <v>9.7600503968645018</v>
      </c>
      <c r="BF20" s="15">
        <f t="shared" si="46"/>
        <v>7.1504599770538277</v>
      </c>
      <c r="BG20" s="15">
        <f t="shared" si="47"/>
        <v>5.3100744908058592</v>
      </c>
      <c r="BH20" s="15">
        <f t="shared" si="48"/>
        <v>4.6051942305751803</v>
      </c>
      <c r="BI20" s="15">
        <f t="shared" si="50"/>
        <v>2.7297096981720568</v>
      </c>
      <c r="BJ20" s="15">
        <f t="shared" si="51"/>
        <v>2.1198133646953496</v>
      </c>
      <c r="BK20" s="15">
        <f t="shared" si="52"/>
        <v>1.5087177146953556</v>
      </c>
    </row>
    <row r="21" spans="11:63" x14ac:dyDescent="0.35">
      <c r="K21">
        <v>400</v>
      </c>
      <c r="L21">
        <f t="shared" si="43"/>
        <v>71.401218450826789</v>
      </c>
      <c r="M21">
        <f t="shared" si="43"/>
        <v>65.333333333333343</v>
      </c>
      <c r="N21">
        <f t="shared" si="43"/>
        <v>61.828410689170191</v>
      </c>
      <c r="O21">
        <f t="shared" si="43"/>
        <v>58.16922793066491</v>
      </c>
      <c r="P21">
        <f t="shared" si="43"/>
        <v>27.801418439716304</v>
      </c>
      <c r="Q21">
        <f t="shared" si="43"/>
        <v>23.333333333333321</v>
      </c>
      <c r="R21">
        <f t="shared" si="43"/>
        <v>13.22580645161292</v>
      </c>
      <c r="AL21" s="34">
        <v>390</v>
      </c>
      <c r="AM21" s="34">
        <v>61.987574992202383</v>
      </c>
      <c r="AN21" s="34">
        <v>58.718885668747511</v>
      </c>
      <c r="AO21" s="34">
        <v>94.97339593093659</v>
      </c>
      <c r="AP21" s="34">
        <v>49.949023263351222</v>
      </c>
      <c r="AQ21" s="34">
        <v>54.803419450701824</v>
      </c>
      <c r="AR21" s="34">
        <v>41.147473393172667</v>
      </c>
      <c r="AS21" s="34">
        <v>99.402935118174796</v>
      </c>
      <c r="AU21">
        <v>390</v>
      </c>
      <c r="AV21" s="15">
        <f t="shared" si="49"/>
        <v>0.59762172495746047</v>
      </c>
      <c r="AW21" s="15">
        <f t="shared" si="44"/>
        <v>0.47040351741296643</v>
      </c>
      <c r="AX21" s="15">
        <f t="shared" si="44"/>
        <v>0.69816354814678183</v>
      </c>
      <c r="AY21" s="15">
        <f t="shared" si="44"/>
        <v>0.41858875780844546</v>
      </c>
      <c r="AZ21" s="15">
        <f t="shared" si="44"/>
        <v>0.19952072329569931</v>
      </c>
      <c r="BA21" s="15">
        <f t="shared" si="44"/>
        <v>0.15668424474946543</v>
      </c>
      <c r="BB21" s="15">
        <f t="shared" si="44"/>
        <v>0.21911399676586921</v>
      </c>
      <c r="BD21">
        <v>390</v>
      </c>
      <c r="BE21" s="15">
        <f t="shared" si="45"/>
        <v>14.940543123936511</v>
      </c>
      <c r="BF21" s="15">
        <f t="shared" si="46"/>
        <v>11.614901664517689</v>
      </c>
      <c r="BG21" s="15">
        <f t="shared" si="47"/>
        <v>9.6967159464830814</v>
      </c>
      <c r="BH21" s="15">
        <f t="shared" si="48"/>
        <v>7.4217864859653453</v>
      </c>
      <c r="BI21" s="15">
        <f t="shared" si="50"/>
        <v>3.9121710450137122</v>
      </c>
      <c r="BJ21" s="15">
        <f t="shared" si="51"/>
        <v>2.7979329419547398</v>
      </c>
      <c r="BK21" s="15">
        <f t="shared" si="52"/>
        <v>3.4779999486645905</v>
      </c>
    </row>
    <row r="22" spans="11:63" x14ac:dyDescent="0.35">
      <c r="K22">
        <v>410</v>
      </c>
      <c r="L22">
        <f t="shared" si="43"/>
        <v>99.425587467362931</v>
      </c>
      <c r="M22">
        <f t="shared" si="43"/>
        <v>84.42</v>
      </c>
      <c r="N22">
        <f t="shared" si="43"/>
        <v>101.50492264416314</v>
      </c>
      <c r="O22">
        <f t="shared" si="43"/>
        <v>79.514268289762981</v>
      </c>
      <c r="P22">
        <f t="shared" si="43"/>
        <v>33.758865248226954</v>
      </c>
      <c r="Q22">
        <f t="shared" si="43"/>
        <v>30.624999999999993</v>
      </c>
      <c r="R22">
        <f t="shared" si="43"/>
        <v>18.064516129032242</v>
      </c>
      <c r="AL22" s="34">
        <v>400</v>
      </c>
      <c r="AM22" s="34">
        <v>66.127282605520179</v>
      </c>
      <c r="AN22" s="34">
        <v>56.598695519047055</v>
      </c>
      <c r="AO22" s="34">
        <v>89.298640008771144</v>
      </c>
      <c r="AP22" s="34">
        <v>57.360847339917086</v>
      </c>
      <c r="AQ22" s="34">
        <v>54.539248588656392</v>
      </c>
      <c r="AR22" s="34">
        <v>45.619701041041651</v>
      </c>
      <c r="AS22" s="34">
        <v>81.22365713267088</v>
      </c>
      <c r="AU22">
        <v>400</v>
      </c>
      <c r="AV22" s="15">
        <f t="shared" si="49"/>
        <v>0.78692809181271739</v>
      </c>
      <c r="AW22" s="15">
        <f t="shared" si="44"/>
        <v>0.6162969067629569</v>
      </c>
      <c r="AX22" s="15">
        <f t="shared" si="44"/>
        <v>0.9201988314077777</v>
      </c>
      <c r="AY22" s="15">
        <f t="shared" si="44"/>
        <v>0.55610603386861857</v>
      </c>
      <c r="AZ22" s="15">
        <f t="shared" si="44"/>
        <v>0.25271141190015728</v>
      </c>
      <c r="BA22" s="15">
        <f t="shared" si="44"/>
        <v>0.17740994849293965</v>
      </c>
      <c r="BB22" s="15">
        <f t="shared" si="44"/>
        <v>0.17904139475481237</v>
      </c>
      <c r="BD22">
        <v>400</v>
      </c>
      <c r="BE22" s="15">
        <f t="shared" si="45"/>
        <v>19.673202295317935</v>
      </c>
      <c r="BF22" s="15">
        <f t="shared" si="46"/>
        <v>15.217207574393997</v>
      </c>
      <c r="BG22" s="15">
        <f t="shared" si="47"/>
        <v>12.780539325108025</v>
      </c>
      <c r="BH22" s="15">
        <f t="shared" si="48"/>
        <v>9.8600360615003293</v>
      </c>
      <c r="BI22" s="15">
        <f t="shared" si="50"/>
        <v>4.9551257235324959</v>
      </c>
      <c r="BJ22" s="15">
        <f t="shared" si="51"/>
        <v>3.1680347945167795</v>
      </c>
      <c r="BK22" s="15">
        <f t="shared" si="52"/>
        <v>2.8419269008700376</v>
      </c>
    </row>
    <row r="23" spans="11:63" x14ac:dyDescent="0.35">
      <c r="K23">
        <v>425</v>
      </c>
      <c r="L23">
        <f t="shared" ref="L23:R24" si="53">L12*60</f>
        <v>138.72062663185375</v>
      </c>
      <c r="M23">
        <f t="shared" si="53"/>
        <v>124.95</v>
      </c>
      <c r="N23">
        <f t="shared" si="53"/>
        <v>150.44831223628694</v>
      </c>
      <c r="O23">
        <f t="shared" si="53"/>
        <v>113.97196623666727</v>
      </c>
      <c r="P23">
        <f t="shared" si="53"/>
        <v>54.113475177304963</v>
      </c>
      <c r="Q23">
        <f t="shared" si="53"/>
        <v>57.847222222222214</v>
      </c>
      <c r="R23">
        <f t="shared" si="53"/>
        <v>38.62903225806452</v>
      </c>
      <c r="AL23" s="34">
        <v>410</v>
      </c>
      <c r="AM23" s="34">
        <v>58.662202927553729</v>
      </c>
      <c r="AN23" s="34">
        <v>57.114320328731111</v>
      </c>
      <c r="AO23" s="34">
        <v>71.922267728138422</v>
      </c>
      <c r="AP23" s="34">
        <v>53.261773364204821</v>
      </c>
      <c r="AQ23" s="34">
        <v>61.756544779796336</v>
      </c>
      <c r="AR23" s="34">
        <v>45.342827387674731</v>
      </c>
      <c r="AS23" s="34">
        <v>100</v>
      </c>
      <c r="AU23">
        <v>410</v>
      </c>
      <c r="AV23" s="15">
        <f t="shared" ref="AV23:BB25" si="54">((AM23/100)*(C11/100))*3.5</f>
        <v>0.9720873313669478</v>
      </c>
      <c r="AW23" s="15">
        <f t="shared" si="54"/>
        <v>0.80359848702524694</v>
      </c>
      <c r="AX23" s="15">
        <f t="shared" si="54"/>
        <v>1.2167440370229137</v>
      </c>
      <c r="AY23" s="15">
        <f t="shared" si="54"/>
        <v>0.70584515614498899</v>
      </c>
      <c r="AZ23" s="15">
        <f t="shared" si="54"/>
        <v>0.34747181223620638</v>
      </c>
      <c r="BA23" s="15">
        <f t="shared" si="54"/>
        <v>0.23143734812458971</v>
      </c>
      <c r="BB23" s="15">
        <f t="shared" si="54"/>
        <v>0.30107526881720403</v>
      </c>
      <c r="BD23">
        <v>410</v>
      </c>
      <c r="BE23" s="15">
        <f t="shared" si="45"/>
        <v>24.302183284173694</v>
      </c>
      <c r="BF23" s="15">
        <f t="shared" si="46"/>
        <v>19.841937951240666</v>
      </c>
      <c r="BG23" s="15">
        <f t="shared" si="47"/>
        <v>16.899222736429358</v>
      </c>
      <c r="BH23" s="15">
        <f t="shared" si="48"/>
        <v>12.514985038031719</v>
      </c>
      <c r="BI23" s="15">
        <f t="shared" si="50"/>
        <v>6.8131727889452236</v>
      </c>
      <c r="BJ23" s="15">
        <f t="shared" si="51"/>
        <v>4.1328097879391024</v>
      </c>
      <c r="BK23" s="15">
        <f t="shared" si="52"/>
        <v>4.7789725209080007</v>
      </c>
    </row>
    <row r="24" spans="11:63" x14ac:dyDescent="0.35">
      <c r="K24">
        <v>450</v>
      </c>
      <c r="L24">
        <f t="shared" si="53"/>
        <v>201.04438642297649</v>
      </c>
      <c r="M24">
        <f t="shared" si="53"/>
        <v>193.7355</v>
      </c>
      <c r="N24">
        <f t="shared" si="53"/>
        <v>170.71729957805906</v>
      </c>
      <c r="O24">
        <f t="shared" si="53"/>
        <v>168.29583338615015</v>
      </c>
      <c r="P24">
        <f t="shared" si="53"/>
        <v>107.82978723404254</v>
      </c>
      <c r="Q24">
        <f t="shared" si="53"/>
        <v>87.281249999999986</v>
      </c>
      <c r="R24">
        <f t="shared" si="53"/>
        <v>63.709677419354847</v>
      </c>
      <c r="AL24" s="34">
        <v>425</v>
      </c>
      <c r="AM24" s="34">
        <v>47.515266283586193</v>
      </c>
      <c r="AN24" s="34">
        <v>54.758442007857553</v>
      </c>
      <c r="AO24" s="34">
        <v>59.236720874636269</v>
      </c>
      <c r="AP24" s="34">
        <v>51.581676663193008</v>
      </c>
      <c r="AQ24" s="34">
        <v>63.363349400999773</v>
      </c>
      <c r="AR24" s="34">
        <v>35.140004841757836</v>
      </c>
      <c r="AS24" s="34">
        <v>80.329906440405821</v>
      </c>
      <c r="AU24">
        <v>425</v>
      </c>
      <c r="AV24" s="15">
        <f t="shared" si="54"/>
        <v>1.0985579189064116</v>
      </c>
      <c r="AW24" s="15">
        <f t="shared" si="54"/>
        <v>1.1403445548136335</v>
      </c>
      <c r="AX24" s="15">
        <f t="shared" si="54"/>
        <v>1.4853441130001754</v>
      </c>
      <c r="AY24" s="15">
        <f t="shared" si="54"/>
        <v>0.9798108518480203</v>
      </c>
      <c r="AZ24" s="15">
        <f t="shared" si="54"/>
        <v>0.57146850582698372</v>
      </c>
      <c r="BA24" s="15">
        <f t="shared" si="54"/>
        <v>0.33879194482852165</v>
      </c>
      <c r="BB24" s="15">
        <f t="shared" si="54"/>
        <v>0.51717775786229025</v>
      </c>
      <c r="BD24">
        <v>425</v>
      </c>
      <c r="BE24" s="15">
        <f t="shared" si="45"/>
        <v>27.463947972660289</v>
      </c>
      <c r="BF24" s="15">
        <f t="shared" si="46"/>
        <v>28.156655674410704</v>
      </c>
      <c r="BG24" s="15">
        <f t="shared" si="47"/>
        <v>20.629779347224659</v>
      </c>
      <c r="BH24" s="15">
        <f t="shared" si="48"/>
        <v>17.372532834184756</v>
      </c>
      <c r="BI24" s="15">
        <f t="shared" si="50"/>
        <v>11.205264820136936</v>
      </c>
      <c r="BJ24" s="15">
        <f t="shared" si="51"/>
        <v>6.0498561576521723</v>
      </c>
      <c r="BK24" s="15">
        <f t="shared" si="52"/>
        <v>8.2091707597188925</v>
      </c>
    </row>
    <row r="25" spans="11:63" x14ac:dyDescent="0.35">
      <c r="AL25" s="34">
        <v>450</v>
      </c>
      <c r="AM25" s="34">
        <v>77.977076214353261</v>
      </c>
      <c r="AN25" s="34">
        <v>84.67643370997763</v>
      </c>
      <c r="AO25" s="34">
        <v>81.696552290062812</v>
      </c>
      <c r="AP25" s="34">
        <v>89.681646902263864</v>
      </c>
      <c r="AQ25" s="34">
        <v>57.003319694166393</v>
      </c>
      <c r="AR25" s="34">
        <v>54.140897202526808</v>
      </c>
      <c r="AS25" s="34">
        <v>86.543882543514712</v>
      </c>
      <c r="AU25">
        <v>450</v>
      </c>
      <c r="AV25" s="15">
        <f t="shared" si="54"/>
        <v>2.6128089070953879</v>
      </c>
      <c r="AW25" s="15">
        <f t="shared" si="54"/>
        <v>2.7341385371698954</v>
      </c>
      <c r="AX25" s="15">
        <f t="shared" si="54"/>
        <v>2.3245024652995365</v>
      </c>
      <c r="AY25" s="15">
        <f t="shared" si="54"/>
        <v>2.5155079174764916</v>
      </c>
      <c r="AZ25" s="15">
        <f t="shared" si="54"/>
        <v>1.0244426390426782</v>
      </c>
      <c r="BA25" s="15">
        <f t="shared" si="54"/>
        <v>0.78758086399300697</v>
      </c>
      <c r="BB25" s="15">
        <f t="shared" si="54"/>
        <v>0.91894713991097643</v>
      </c>
      <c r="BD25">
        <v>450</v>
      </c>
      <c r="BE25" s="15">
        <f t="shared" si="45"/>
        <v>65.320222677384692</v>
      </c>
      <c r="BF25" s="15">
        <f t="shared" si="46"/>
        <v>67.509593510367779</v>
      </c>
      <c r="BG25" s="15">
        <f t="shared" si="47"/>
        <v>32.284756462493569</v>
      </c>
      <c r="BH25" s="15">
        <f t="shared" si="48"/>
        <v>44.601204210576093</v>
      </c>
      <c r="BI25" s="15">
        <f t="shared" si="50"/>
        <v>20.087110569464279</v>
      </c>
      <c r="BJ25" s="15">
        <f t="shared" si="51"/>
        <v>14.063943999875125</v>
      </c>
      <c r="BK25" s="15">
        <f t="shared" si="52"/>
        <v>14.586462538269467</v>
      </c>
    </row>
    <row r="26" spans="11:63" x14ac:dyDescent="0.35">
      <c r="L26" t="s">
        <v>76</v>
      </c>
    </row>
    <row r="27" spans="11:63" x14ac:dyDescent="0.35">
      <c r="L27" s="7">
        <v>6.3</v>
      </c>
      <c r="M27" s="7">
        <v>9.6999999999999993</v>
      </c>
      <c r="N27" s="7">
        <v>16.600000000000001</v>
      </c>
      <c r="O27" s="7">
        <v>18.3</v>
      </c>
      <c r="P27" s="7">
        <v>27.8</v>
      </c>
      <c r="Q27" s="7">
        <v>38.9</v>
      </c>
      <c r="R27" s="7">
        <v>44.7</v>
      </c>
      <c r="AM27" s="31" t="s">
        <v>1</v>
      </c>
      <c r="AN27" s="15"/>
      <c r="AO27" s="15"/>
      <c r="AP27" s="15"/>
      <c r="AQ27" s="15"/>
      <c r="AR27" s="15"/>
      <c r="AS27" s="15"/>
    </row>
    <row r="28" spans="11:63" x14ac:dyDescent="0.35">
      <c r="L28" t="s">
        <v>16</v>
      </c>
      <c r="M28" t="s">
        <v>17</v>
      </c>
      <c r="N28" t="s">
        <v>27</v>
      </c>
      <c r="O28" t="s">
        <v>28</v>
      </c>
      <c r="P28" t="s">
        <v>74</v>
      </c>
      <c r="Q28" t="s">
        <v>30</v>
      </c>
      <c r="R28" t="s">
        <v>75</v>
      </c>
      <c r="AM28" s="7">
        <v>6.3</v>
      </c>
      <c r="AN28" s="7">
        <v>9.6999999999999993</v>
      </c>
      <c r="AO28" s="7">
        <v>16.600000000000001</v>
      </c>
      <c r="AP28" s="7">
        <v>18.3</v>
      </c>
      <c r="AQ28" s="7">
        <v>27.8</v>
      </c>
      <c r="AR28" s="7">
        <v>38.9</v>
      </c>
      <c r="AS28" s="7">
        <v>44.7</v>
      </c>
    </row>
    <row r="29" spans="11:63" x14ac:dyDescent="0.35">
      <c r="L29">
        <v>1</v>
      </c>
      <c r="M29">
        <v>0.5</v>
      </c>
      <c r="N29">
        <v>0.5</v>
      </c>
      <c r="O29">
        <v>0.23</v>
      </c>
      <c r="P29">
        <v>0.15</v>
      </c>
      <c r="Q29">
        <v>0.1</v>
      </c>
      <c r="R29">
        <v>0.1</v>
      </c>
      <c r="AM29" t="s">
        <v>16</v>
      </c>
      <c r="AN29" t="s">
        <v>17</v>
      </c>
      <c r="AO29" t="s">
        <v>27</v>
      </c>
      <c r="AP29" t="s">
        <v>28</v>
      </c>
      <c r="AQ29" t="s">
        <v>29</v>
      </c>
      <c r="AR29" t="s">
        <v>30</v>
      </c>
      <c r="AS29" t="s">
        <v>31</v>
      </c>
    </row>
    <row r="30" spans="11:63" x14ac:dyDescent="0.35">
      <c r="K30">
        <v>300</v>
      </c>
      <c r="L30" s="18">
        <f t="shared" ref="L30:L38" si="55">L5/1</f>
        <v>2.7415143603133029E-2</v>
      </c>
      <c r="M30" s="18">
        <f t="shared" ref="M30:N38" si="56">M5/0.5</f>
        <v>7.0968625839155586E-2</v>
      </c>
      <c r="N30" s="18">
        <f t="shared" si="56"/>
        <v>8.6419753086420567E-2</v>
      </c>
      <c r="O30" s="18">
        <f t="shared" ref="O30:O38" si="57">O5/0.23</f>
        <v>0</v>
      </c>
      <c r="P30" s="18">
        <f t="shared" ref="P30:P38" si="58">P5/0.15</f>
        <v>0</v>
      </c>
      <c r="Q30" s="18">
        <f t="shared" ref="Q30:R38" si="59">Q5/0.1</f>
        <v>0</v>
      </c>
      <c r="R30" s="18">
        <f t="shared" si="59"/>
        <v>0</v>
      </c>
      <c r="AM30">
        <v>1</v>
      </c>
      <c r="AN30">
        <v>0.5</v>
      </c>
      <c r="AO30">
        <v>0.5</v>
      </c>
      <c r="AP30">
        <v>0.23</v>
      </c>
      <c r="AQ30">
        <v>0.15</v>
      </c>
      <c r="AR30">
        <v>0.1</v>
      </c>
      <c r="AS30">
        <v>0.1</v>
      </c>
    </row>
    <row r="31" spans="11:63" x14ac:dyDescent="0.35">
      <c r="K31">
        <v>325</v>
      </c>
      <c r="L31" s="18">
        <f t="shared" si="55"/>
        <v>0.17972149695387288</v>
      </c>
      <c r="M31" s="18">
        <f t="shared" si="56"/>
        <v>0.15555555555555634</v>
      </c>
      <c r="N31" s="18">
        <f t="shared" si="56"/>
        <v>0.19034224097515298</v>
      </c>
      <c r="O31" s="18">
        <f t="shared" si="57"/>
        <v>0.53584431571223246</v>
      </c>
      <c r="P31" s="18">
        <f t="shared" si="58"/>
        <v>0.4137115839243507</v>
      </c>
      <c r="Q31" s="18">
        <f t="shared" si="59"/>
        <v>0.36458333333332998</v>
      </c>
      <c r="R31" s="18">
        <f t="shared" si="59"/>
        <v>0</v>
      </c>
      <c r="AL31">
        <v>300</v>
      </c>
      <c r="AM31" s="15">
        <v>0.78328981723237234</v>
      </c>
      <c r="AN31" s="15">
        <v>1.013837511987937</v>
      </c>
      <c r="AO31" s="16">
        <v>1.2345679012345794</v>
      </c>
      <c r="AP31" s="15">
        <v>0</v>
      </c>
      <c r="AQ31" s="15">
        <v>0</v>
      </c>
      <c r="AR31" s="15">
        <v>0</v>
      </c>
      <c r="AS31" s="15">
        <v>0</v>
      </c>
    </row>
    <row r="32" spans="11:63" x14ac:dyDescent="0.35">
      <c r="K32">
        <v>350</v>
      </c>
      <c r="L32" s="18">
        <f t="shared" si="55"/>
        <v>0.35487380330722346</v>
      </c>
      <c r="M32" s="18">
        <f t="shared" si="56"/>
        <v>0.38888888888888928</v>
      </c>
      <c r="N32" s="18">
        <f t="shared" si="56"/>
        <v>0.32161275199249917</v>
      </c>
      <c r="O32" s="18">
        <f t="shared" si="57"/>
        <v>0.82161651987058959</v>
      </c>
      <c r="P32" s="18">
        <f t="shared" si="58"/>
        <v>0.77226162332545212</v>
      </c>
      <c r="Q32" s="18">
        <f t="shared" si="59"/>
        <v>0.24305555555555</v>
      </c>
      <c r="R32" s="18">
        <f t="shared" si="59"/>
        <v>0.72580645161290491</v>
      </c>
      <c r="AL32">
        <v>325</v>
      </c>
      <c r="AM32" s="15">
        <v>5.1348999129677964</v>
      </c>
      <c r="AN32" s="15">
        <v>2.2222222222222334</v>
      </c>
      <c r="AO32" s="16">
        <v>2.7191748710736143</v>
      </c>
      <c r="AP32" s="15">
        <v>3.5212626461089562</v>
      </c>
      <c r="AQ32" s="15">
        <v>1.7730496453900741</v>
      </c>
      <c r="AR32" s="15">
        <v>1.0416666666666572</v>
      </c>
      <c r="AS32" s="15">
        <v>0</v>
      </c>
    </row>
    <row r="33" spans="11:46" x14ac:dyDescent="0.35">
      <c r="K33">
        <v>375</v>
      </c>
      <c r="L33" s="18">
        <f t="shared" si="55"/>
        <v>0.66710182767623982</v>
      </c>
      <c r="M33" s="18">
        <f t="shared" si="56"/>
        <v>1.0577777777777784</v>
      </c>
      <c r="N33" s="18">
        <f t="shared" si="56"/>
        <v>0.76465072667604372</v>
      </c>
      <c r="O33" s="18">
        <f t="shared" si="57"/>
        <v>2.786300423459295</v>
      </c>
      <c r="P33" s="18">
        <f t="shared" si="58"/>
        <v>1.613475177304964</v>
      </c>
      <c r="Q33" s="18">
        <f t="shared" si="59"/>
        <v>2.9976851851851882</v>
      </c>
      <c r="R33" s="18">
        <f t="shared" si="59"/>
        <v>1.1290322580645187</v>
      </c>
      <c r="AL33">
        <v>350</v>
      </c>
      <c r="AM33" s="15">
        <v>10.139251523063528</v>
      </c>
      <c r="AN33" s="15">
        <v>5.5555555555555616</v>
      </c>
      <c r="AO33" s="16">
        <v>4.5944678856071306</v>
      </c>
      <c r="AP33" s="15">
        <v>5.3991942734353033</v>
      </c>
      <c r="AQ33" s="15">
        <v>3.3096926713947945</v>
      </c>
      <c r="AR33" s="15">
        <v>0.69444444444442865</v>
      </c>
      <c r="AS33" s="15">
        <v>2.0737327188940142</v>
      </c>
    </row>
    <row r="34" spans="11:46" x14ac:dyDescent="0.35">
      <c r="K34">
        <v>390</v>
      </c>
      <c r="L34" s="18">
        <f t="shared" si="55"/>
        <v>0.96409921671018295</v>
      </c>
      <c r="M34" s="18">
        <f t="shared" si="56"/>
        <v>1.6022222222222231</v>
      </c>
      <c r="N34" s="18">
        <f t="shared" si="56"/>
        <v>1.4702297233942803</v>
      </c>
      <c r="O34" s="18">
        <f t="shared" si="57"/>
        <v>3.643617035934366</v>
      </c>
      <c r="P34" s="18">
        <f t="shared" si="58"/>
        <v>2.4271079590228526</v>
      </c>
      <c r="Q34" s="18">
        <f t="shared" si="59"/>
        <v>3.807870370370372</v>
      </c>
      <c r="R34" s="18">
        <f t="shared" si="59"/>
        <v>2.2043010752688175</v>
      </c>
      <c r="AL34">
        <v>375</v>
      </c>
      <c r="AM34" s="15">
        <v>19.06005221932114</v>
      </c>
      <c r="AN34" s="15">
        <v>15.11111111111112</v>
      </c>
      <c r="AO34" s="16">
        <v>10.923581809657767</v>
      </c>
      <c r="AP34" s="15">
        <v>18.309974211303938</v>
      </c>
      <c r="AQ34" s="15">
        <v>6.9148936170212743</v>
      </c>
      <c r="AR34" s="15">
        <v>8.5648148148148238</v>
      </c>
      <c r="AS34" s="15">
        <v>3.225806451612911</v>
      </c>
    </row>
    <row r="35" spans="11:46" x14ac:dyDescent="0.35">
      <c r="K35">
        <v>400</v>
      </c>
      <c r="L35" s="18">
        <f t="shared" si="55"/>
        <v>1.1900203075137799</v>
      </c>
      <c r="M35" s="18">
        <f t="shared" si="56"/>
        <v>2.177777777777778</v>
      </c>
      <c r="N35" s="18">
        <f t="shared" si="56"/>
        <v>2.0609470229723397</v>
      </c>
      <c r="O35" s="18">
        <f t="shared" si="57"/>
        <v>4.2151614442510805</v>
      </c>
      <c r="P35" s="18">
        <f t="shared" si="58"/>
        <v>3.089046493301812</v>
      </c>
      <c r="Q35" s="18">
        <f t="shared" si="59"/>
        <v>3.8888888888888866</v>
      </c>
      <c r="R35" s="18">
        <f t="shared" si="59"/>
        <v>2.2043010752688197</v>
      </c>
      <c r="AL35">
        <v>390</v>
      </c>
      <c r="AM35" s="15">
        <v>27.545691906005224</v>
      </c>
      <c r="AN35" s="15">
        <v>22.888888888888903</v>
      </c>
      <c r="AO35" s="16">
        <v>21.003281762775433</v>
      </c>
      <c r="AP35" s="15">
        <v>23.943769093282977</v>
      </c>
      <c r="AQ35" s="15">
        <v>10.401891252955082</v>
      </c>
      <c r="AR35" s="15">
        <v>10.879629629629633</v>
      </c>
      <c r="AS35" s="15">
        <v>6.2980030721966216</v>
      </c>
    </row>
    <row r="36" spans="11:46" x14ac:dyDescent="0.35">
      <c r="K36">
        <v>410</v>
      </c>
      <c r="L36" s="18">
        <f t="shared" si="55"/>
        <v>1.6570931244560487</v>
      </c>
      <c r="M36" s="18">
        <f t="shared" si="56"/>
        <v>2.8140000000000001</v>
      </c>
      <c r="N36" s="18">
        <f t="shared" si="56"/>
        <v>3.383497421472105</v>
      </c>
      <c r="O36" s="18">
        <f t="shared" si="57"/>
        <v>5.761903499258187</v>
      </c>
      <c r="P36" s="18">
        <f t="shared" si="58"/>
        <v>3.7509850275807728</v>
      </c>
      <c r="Q36" s="18">
        <f t="shared" si="59"/>
        <v>5.1041666666666652</v>
      </c>
      <c r="R36" s="18">
        <f t="shared" si="59"/>
        <v>3.0107526881720403</v>
      </c>
      <c r="AL36">
        <v>400</v>
      </c>
      <c r="AM36" s="15">
        <v>34.000580214679424</v>
      </c>
      <c r="AN36" s="15">
        <v>31.111111111111114</v>
      </c>
      <c r="AO36" s="16">
        <v>29.442100328176281</v>
      </c>
      <c r="AP36" s="15">
        <v>27.699632347935673</v>
      </c>
      <c r="AQ36" s="15">
        <v>13.238770685579192</v>
      </c>
      <c r="AR36" s="15">
        <v>11.111111111111105</v>
      </c>
      <c r="AS36" s="15">
        <v>9.1141833077317003</v>
      </c>
    </row>
    <row r="37" spans="11:46" x14ac:dyDescent="0.35">
      <c r="K37">
        <v>425</v>
      </c>
      <c r="L37" s="18">
        <f t="shared" si="55"/>
        <v>2.3120104438642293</v>
      </c>
      <c r="M37" s="18">
        <f t="shared" si="56"/>
        <v>4.165</v>
      </c>
      <c r="N37" s="18">
        <f t="shared" si="56"/>
        <v>5.0149437412095645</v>
      </c>
      <c r="O37" s="18">
        <f t="shared" si="57"/>
        <v>8.2588381330918299</v>
      </c>
      <c r="P37" s="18">
        <f t="shared" si="58"/>
        <v>6.012608353033885</v>
      </c>
      <c r="Q37" s="18">
        <f t="shared" si="59"/>
        <v>9.6412037037037024</v>
      </c>
      <c r="R37" s="18">
        <f t="shared" si="59"/>
        <v>6.438172043010753</v>
      </c>
      <c r="AL37">
        <v>410</v>
      </c>
      <c r="AM37" s="15">
        <v>47.345517841601392</v>
      </c>
      <c r="AN37" s="15">
        <v>40.200000000000003</v>
      </c>
      <c r="AO37" s="16">
        <v>48.335677449601498</v>
      </c>
      <c r="AP37" s="15">
        <v>37.863937280839515</v>
      </c>
      <c r="AQ37" s="15">
        <v>16.07565011820331</v>
      </c>
      <c r="AR37" s="15">
        <v>14.583333333333329</v>
      </c>
      <c r="AS37" s="15">
        <v>8.602150537634401</v>
      </c>
    </row>
    <row r="38" spans="11:46" x14ac:dyDescent="0.35">
      <c r="K38">
        <v>450</v>
      </c>
      <c r="L38" s="18">
        <f t="shared" si="55"/>
        <v>3.350739773716275</v>
      </c>
      <c r="M38" s="18">
        <f t="shared" si="56"/>
        <v>6.4578500000000005</v>
      </c>
      <c r="N38" s="18">
        <f t="shared" si="56"/>
        <v>5.690576652601969</v>
      </c>
      <c r="O38" s="18">
        <f t="shared" si="57"/>
        <v>12.195350245373199</v>
      </c>
      <c r="P38" s="18">
        <f t="shared" si="58"/>
        <v>11.981087470449172</v>
      </c>
      <c r="Q38" s="18">
        <f t="shared" si="59"/>
        <v>14.546874999999996</v>
      </c>
      <c r="R38" s="18">
        <f t="shared" si="59"/>
        <v>10.618279569892474</v>
      </c>
      <c r="AL38">
        <v>425</v>
      </c>
      <c r="AM38" s="16">
        <v>66.05744125326369</v>
      </c>
      <c r="AN38" s="15">
        <v>59.5</v>
      </c>
      <c r="AO38" s="16">
        <v>71.64205344585092</v>
      </c>
      <c r="AP38" s="15">
        <v>54.272364874603461</v>
      </c>
      <c r="AQ38" s="15">
        <v>25.768321513002363</v>
      </c>
      <c r="AR38" s="15">
        <v>27.546296296296291</v>
      </c>
      <c r="AS38" s="15">
        <v>18.394777265745009</v>
      </c>
    </row>
    <row r="39" spans="11:46" x14ac:dyDescent="0.35">
      <c r="AL39">
        <v>450</v>
      </c>
      <c r="AM39" s="15">
        <v>95.735422106179286</v>
      </c>
      <c r="AN39" s="15">
        <v>92.25500000000001</v>
      </c>
      <c r="AO39" s="16">
        <v>81.293952180028128</v>
      </c>
      <c r="AP39" s="15">
        <v>80.14087304102388</v>
      </c>
      <c r="AQ39" s="15">
        <v>51.347517730496449</v>
      </c>
      <c r="AR39" s="15">
        <v>41.562499999999993</v>
      </c>
      <c r="AS39" s="15">
        <v>30.337941628264215</v>
      </c>
    </row>
    <row r="41" spans="11:46" x14ac:dyDescent="0.35">
      <c r="AL41" s="33">
        <v>0.3</v>
      </c>
      <c r="AM41" s="34">
        <v>66.127282605520179</v>
      </c>
      <c r="AN41" s="34">
        <v>56.598695519047055</v>
      </c>
      <c r="AO41" s="34">
        <v>89.298640008771144</v>
      </c>
      <c r="AP41" s="34">
        <v>57.360847339917086</v>
      </c>
      <c r="AQ41" s="34">
        <v>63.363349400999773</v>
      </c>
      <c r="AR41" s="34">
        <v>35.140004841757836</v>
      </c>
      <c r="AS41" s="34">
        <v>86.543882543514712</v>
      </c>
    </row>
    <row r="42" spans="11:46" x14ac:dyDescent="0.35">
      <c r="AL42" s="33">
        <v>0.5</v>
      </c>
      <c r="AM42" s="34">
        <v>58.662202927553729</v>
      </c>
      <c r="AN42" s="34">
        <v>57.114320328731111</v>
      </c>
      <c r="AO42" s="34">
        <v>71.922267728138422</v>
      </c>
      <c r="AP42" s="34">
        <v>51.581676663193008</v>
      </c>
      <c r="AQ42" s="34">
        <v>57.003319694166393</v>
      </c>
      <c r="AR42" s="34">
        <v>54.140897202526808</v>
      </c>
      <c r="AS42" s="34"/>
      <c r="AT42">
        <f>AVERAGE(AM42:AR42)</f>
        <v>58.404114090718245</v>
      </c>
    </row>
    <row r="50" spans="22:86" x14ac:dyDescent="0.35">
      <c r="X50" t="s">
        <v>89</v>
      </c>
    </row>
    <row r="51" spans="22:86" x14ac:dyDescent="0.35">
      <c r="X51" t="s">
        <v>90</v>
      </c>
    </row>
    <row r="52" spans="22:86" x14ac:dyDescent="0.35">
      <c r="W52" t="s">
        <v>91</v>
      </c>
      <c r="X52">
        <v>2.5000000000000001E-2</v>
      </c>
      <c r="Y52">
        <v>0.05</v>
      </c>
      <c r="Z52">
        <v>0.1</v>
      </c>
      <c r="AA52">
        <v>0.2</v>
      </c>
      <c r="AB52">
        <v>0.3</v>
      </c>
    </row>
    <row r="53" spans="22:86" x14ac:dyDescent="0.35">
      <c r="W53" t="s">
        <v>44</v>
      </c>
      <c r="X53" s="2">
        <v>9.257849069923145E-2</v>
      </c>
      <c r="Y53" s="2">
        <v>0.131436738409758</v>
      </c>
      <c r="Z53" s="17">
        <v>0.22709738272397631</v>
      </c>
      <c r="AA53" s="17">
        <v>0.51698378311939996</v>
      </c>
      <c r="AB53" s="2">
        <v>0.6584541966873152</v>
      </c>
    </row>
    <row r="54" spans="22:86" x14ac:dyDescent="0.35">
      <c r="W54" t="s">
        <v>47</v>
      </c>
      <c r="X54" s="2">
        <v>0.19858715987747722</v>
      </c>
      <c r="Y54" s="2">
        <v>0.50329112442945989</v>
      </c>
      <c r="Z54" s="17">
        <v>0.75644162025597517</v>
      </c>
      <c r="AA54" s="17">
        <v>1.253157575998272</v>
      </c>
      <c r="AB54" s="2">
        <v>1.7205401690730395</v>
      </c>
    </row>
    <row r="55" spans="22:86" x14ac:dyDescent="0.35">
      <c r="W55" t="s">
        <v>49</v>
      </c>
      <c r="X55" s="2">
        <v>0.30270281710611208</v>
      </c>
      <c r="Y55" s="2">
        <v>1.115757171991322</v>
      </c>
      <c r="Z55" s="17">
        <v>1.4664747348486085</v>
      </c>
      <c r="AA55" s="17">
        <v>1.680656300321294</v>
      </c>
      <c r="AB55" s="2">
        <v>3.0434893627464863</v>
      </c>
    </row>
    <row r="56" spans="22:86" x14ac:dyDescent="0.35">
      <c r="V56" t="s">
        <v>50</v>
      </c>
      <c r="CH56" s="23"/>
    </row>
    <row r="57" spans="22:86" x14ac:dyDescent="0.35">
      <c r="V57" s="2">
        <v>9.9720999999999993</v>
      </c>
      <c r="W57" t="s">
        <v>44</v>
      </c>
      <c r="X57">
        <f>X52*2.3142</f>
        <v>5.7855000000000004E-2</v>
      </c>
      <c r="Y57">
        <f>Y52*2.3142</f>
        <v>0.11571000000000001</v>
      </c>
      <c r="Z57">
        <f>Z52*2.3142</f>
        <v>0.23142000000000001</v>
      </c>
      <c r="AA57">
        <f>AA52*2.3142</f>
        <v>0.46284000000000003</v>
      </c>
      <c r="AB57">
        <f>AB52*2.3142</f>
        <v>0.69425999999999999</v>
      </c>
    </row>
    <row r="58" spans="22:86" x14ac:dyDescent="0.35">
      <c r="V58" s="2">
        <v>5.9962</v>
      </c>
      <c r="W58" t="s">
        <v>47</v>
      </c>
      <c r="X58">
        <f>X52*5.9962</f>
        <v>0.14990500000000001</v>
      </c>
      <c r="Y58">
        <f>Y52*5.9962</f>
        <v>0.29981000000000002</v>
      </c>
      <c r="Z58">
        <f>Z52*5.9962</f>
        <v>0.59962000000000004</v>
      </c>
      <c r="AA58">
        <f>AA52*5.9962</f>
        <v>1.1992400000000001</v>
      </c>
      <c r="AB58">
        <f>AB52*5.9962</f>
        <v>1.7988599999999999</v>
      </c>
    </row>
    <row r="59" spans="22:86" x14ac:dyDescent="0.35">
      <c r="V59" s="2">
        <v>2.3142</v>
      </c>
      <c r="W59" t="s">
        <v>49</v>
      </c>
      <c r="X59">
        <f>X52*9.9721</f>
        <v>0.24930249999999998</v>
      </c>
      <c r="Y59">
        <f>Y52*9.9721</f>
        <v>0.49860499999999996</v>
      </c>
      <c r="Z59">
        <f>Z52*9.9721</f>
        <v>0.99720999999999993</v>
      </c>
      <c r="AA59">
        <f>AA52*9.9721</f>
        <v>1.9944199999999999</v>
      </c>
      <c r="AB59">
        <f>AB52*9.9721</f>
        <v>2.9916299999999998</v>
      </c>
      <c r="CH59" s="23"/>
    </row>
    <row r="61" spans="22:86" x14ac:dyDescent="0.35">
      <c r="V61" t="s">
        <v>53</v>
      </c>
      <c r="X61">
        <v>1</v>
      </c>
      <c r="Y61">
        <f>Y52/X52</f>
        <v>2</v>
      </c>
      <c r="Z61">
        <f>Z52/X52</f>
        <v>4</v>
      </c>
      <c r="AA61">
        <f>AA52/X52</f>
        <v>8</v>
      </c>
      <c r="AB61">
        <f>AB52/X52</f>
        <v>11.999999999999998</v>
      </c>
      <c r="CH61" s="23"/>
    </row>
    <row r="62" spans="22:86" x14ac:dyDescent="0.35">
      <c r="V62" t="s">
        <v>55</v>
      </c>
      <c r="X62">
        <f>X57/X57</f>
        <v>1</v>
      </c>
      <c r="Y62">
        <f>Y57/X57</f>
        <v>2</v>
      </c>
      <c r="Z62">
        <f>Z57/X57</f>
        <v>4</v>
      </c>
      <c r="AA62">
        <f>AA57/X57</f>
        <v>8</v>
      </c>
      <c r="AB62">
        <f>AB57/X57</f>
        <v>11.999999999999998</v>
      </c>
    </row>
    <row r="63" spans="22:86" x14ac:dyDescent="0.35">
      <c r="V63" t="s">
        <v>56</v>
      </c>
      <c r="X63">
        <f>X58/X58</f>
        <v>1</v>
      </c>
      <c r="Y63">
        <f>Y58/X58</f>
        <v>2</v>
      </c>
      <c r="Z63">
        <f>Z58/X58</f>
        <v>4</v>
      </c>
      <c r="AA63">
        <f>AA58/X58</f>
        <v>8</v>
      </c>
      <c r="AB63">
        <f>AB58/X58</f>
        <v>11.999999999999998</v>
      </c>
    </row>
    <row r="64" spans="22:86" x14ac:dyDescent="0.35">
      <c r="V64" t="s">
        <v>57</v>
      </c>
      <c r="X64">
        <f>X59/X59</f>
        <v>1</v>
      </c>
      <c r="Y64">
        <f>Y59/X59</f>
        <v>2</v>
      </c>
      <c r="Z64">
        <f>Z59/X59</f>
        <v>4</v>
      </c>
      <c r="AA64">
        <f>AA59/X59</f>
        <v>8</v>
      </c>
      <c r="AB64">
        <f>AB59/X59</f>
        <v>12</v>
      </c>
      <c r="CH64" s="23"/>
    </row>
    <row r="66" spans="22:45" x14ac:dyDescent="0.35">
      <c r="V66" t="s">
        <v>53</v>
      </c>
      <c r="X66">
        <v>1</v>
      </c>
      <c r="Y66">
        <f>Y57/X57</f>
        <v>2</v>
      </c>
      <c r="Z66">
        <f>Z57/X57</f>
        <v>4</v>
      </c>
      <c r="AA66">
        <f>AA57/X57</f>
        <v>8</v>
      </c>
      <c r="AB66">
        <f>AB57/X57</f>
        <v>11.999999999999998</v>
      </c>
    </row>
    <row r="67" spans="22:45" x14ac:dyDescent="0.35">
      <c r="V67" t="s">
        <v>55</v>
      </c>
      <c r="X67">
        <f>X53/X53</f>
        <v>1</v>
      </c>
      <c r="Y67">
        <f>Y53/X53</f>
        <v>1.4197330007978748</v>
      </c>
      <c r="Z67">
        <f>Z53/X53</f>
        <v>2.4530253302764375</v>
      </c>
      <c r="AA67">
        <f>AA53/X53</f>
        <v>5.584275345328046</v>
      </c>
      <c r="AB67">
        <f>AB53/X53</f>
        <v>7.1123885441867696</v>
      </c>
      <c r="AL67" t="s">
        <v>92</v>
      </c>
    </row>
    <row r="68" spans="22:45" x14ac:dyDescent="0.35">
      <c r="V68" t="s">
        <v>56</v>
      </c>
      <c r="X68">
        <f>X54/X54</f>
        <v>1</v>
      </c>
      <c r="Y68">
        <f>Y54/X54</f>
        <v>2.5343588414274949</v>
      </c>
      <c r="Z68">
        <f>Z54/X54</f>
        <v>3.8091164641393669</v>
      </c>
      <c r="AA68">
        <f>AA54/X54</f>
        <v>6.310365568304797</v>
      </c>
      <c r="AB68">
        <f>AB54/X54</f>
        <v>8.6639044041647271</v>
      </c>
      <c r="AM68" s="7">
        <v>6.3</v>
      </c>
      <c r="AN68" s="7">
        <v>9.6999999999999993</v>
      </c>
      <c r="AO68" s="7">
        <v>16.600000000000001</v>
      </c>
      <c r="AP68" s="7">
        <v>18.3</v>
      </c>
      <c r="AQ68" s="7">
        <v>27.8</v>
      </c>
      <c r="AR68" s="7">
        <v>38.9</v>
      </c>
      <c r="AS68" s="7">
        <v>44.7</v>
      </c>
    </row>
    <row r="69" spans="22:45" x14ac:dyDescent="0.35">
      <c r="V69" t="s">
        <v>57</v>
      </c>
      <c r="X69">
        <f>X55/X55</f>
        <v>1</v>
      </c>
      <c r="Y69">
        <f>Y55/X55</f>
        <v>3.6859821215347157</v>
      </c>
      <c r="Z69">
        <f>Z55/X55</f>
        <v>4.8446022037995693</v>
      </c>
      <c r="AA69">
        <f>AA55/X55</f>
        <v>5.5521660366052759</v>
      </c>
      <c r="AB69">
        <f>AB55/X55</f>
        <v>10.054380701979378</v>
      </c>
      <c r="AL69" t="s">
        <v>86</v>
      </c>
      <c r="AM69">
        <v>1.0936306687257655</v>
      </c>
      <c r="AN69">
        <v>0.62893437488168202</v>
      </c>
      <c r="AO69">
        <v>1.7059234010993614</v>
      </c>
      <c r="AP69">
        <v>2.7759347675693085</v>
      </c>
      <c r="AQ69">
        <v>7.0582869294193884</v>
      </c>
      <c r="AR69">
        <v>0.82266989846273009</v>
      </c>
      <c r="AS69">
        <v>11.873344900397486</v>
      </c>
    </row>
    <row r="71" spans="22:45" x14ac:dyDescent="0.35">
      <c r="AL71" s="33">
        <v>0.3</v>
      </c>
      <c r="AM71">
        <v>1.0936306687257655</v>
      </c>
      <c r="AN71">
        <v>0.62893437488168202</v>
      </c>
      <c r="AO71">
        <v>1.7059234010993614</v>
      </c>
      <c r="AP71">
        <v>2.7759347675693085</v>
      </c>
      <c r="AQ71">
        <v>0.79189105295091455</v>
      </c>
      <c r="AR71">
        <v>0.47481960117405397</v>
      </c>
      <c r="AS71">
        <v>10.042717406709656</v>
      </c>
    </row>
    <row r="72" spans="22:45" x14ac:dyDescent="0.35">
      <c r="AL72" s="33">
        <v>0.5</v>
      </c>
      <c r="AM72">
        <v>0.71439113544828781</v>
      </c>
      <c r="AN72">
        <v>1.0537841775523218</v>
      </c>
      <c r="AO72">
        <v>0.94486053192723285</v>
      </c>
      <c r="AP72">
        <v>0.24617502547603326</v>
      </c>
      <c r="AQ72">
        <v>2.2251888346620246</v>
      </c>
      <c r="AR72">
        <v>1.4496598332506383</v>
      </c>
    </row>
    <row r="91" spans="120:120" ht="17.5" x14ac:dyDescent="0.35">
      <c r="DP91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U27" sqref="U27"/>
    </sheetView>
  </sheetViews>
  <sheetFormatPr defaultRowHeight="14.5" x14ac:dyDescent="0.35"/>
  <sheetData>
    <row r="1" spans="2:17" x14ac:dyDescent="0.35">
      <c r="C1" t="s">
        <v>20</v>
      </c>
    </row>
    <row r="2" spans="2:17" x14ac:dyDescent="0.35">
      <c r="C2" t="s">
        <v>21</v>
      </c>
      <c r="D2">
        <v>5175000</v>
      </c>
      <c r="E2" t="s">
        <v>22</v>
      </c>
    </row>
    <row r="3" spans="2:17" x14ac:dyDescent="0.35">
      <c r="E3" t="s">
        <v>16</v>
      </c>
      <c r="G3" t="s">
        <v>17</v>
      </c>
      <c r="I3" t="s">
        <v>27</v>
      </c>
      <c r="K3" t="s">
        <v>28</v>
      </c>
      <c r="M3" t="s">
        <v>29</v>
      </c>
      <c r="O3" t="s">
        <v>30</v>
      </c>
      <c r="Q3" t="s">
        <v>31</v>
      </c>
    </row>
    <row r="4" spans="2:17" x14ac:dyDescent="0.35">
      <c r="C4" t="s">
        <v>23</v>
      </c>
      <c r="E4">
        <v>6.3</v>
      </c>
      <c r="G4">
        <v>9.6999999999999993</v>
      </c>
      <c r="I4">
        <v>16.600000000000001</v>
      </c>
      <c r="K4">
        <v>18.3</v>
      </c>
      <c r="M4">
        <v>27.8</v>
      </c>
      <c r="O4">
        <v>38.9</v>
      </c>
      <c r="Q4">
        <v>44.7</v>
      </c>
    </row>
    <row r="5" spans="2:17" x14ac:dyDescent="0.35">
      <c r="C5" t="s">
        <v>24</v>
      </c>
      <c r="E5">
        <f>E4*0.000000001</f>
        <v>6.3000000000000002E-9</v>
      </c>
      <c r="G5">
        <f>G4*0.000000001</f>
        <v>9.6999999999999992E-9</v>
      </c>
      <c r="I5">
        <f>I4*0.000000001</f>
        <v>1.6600000000000003E-8</v>
      </c>
      <c r="K5">
        <f>K4*0.000000001</f>
        <v>1.8300000000000002E-8</v>
      </c>
      <c r="M5">
        <f>M4*0.000000001</f>
        <v>2.7800000000000004E-8</v>
      </c>
      <c r="O5">
        <f>O4*0.000000001</f>
        <v>3.8900000000000004E-8</v>
      </c>
      <c r="Q5">
        <f>Q4*0.000000001</f>
        <v>4.4700000000000003E-8</v>
      </c>
    </row>
    <row r="6" spans="2:17" x14ac:dyDescent="0.35">
      <c r="C6" t="s">
        <v>25</v>
      </c>
      <c r="E6">
        <f>E5/2</f>
        <v>3.1500000000000001E-9</v>
      </c>
      <c r="G6">
        <f>G5/2</f>
        <v>4.8499999999999996E-9</v>
      </c>
      <c r="I6">
        <f>I5/2</f>
        <v>8.3000000000000015E-9</v>
      </c>
      <c r="K6">
        <f>K5/2</f>
        <v>9.1500000000000009E-9</v>
      </c>
      <c r="M6">
        <f>M5/2</f>
        <v>1.3900000000000002E-8</v>
      </c>
      <c r="O6">
        <f>O5/2</f>
        <v>1.9450000000000002E-8</v>
      </c>
      <c r="Q6">
        <f>Q5/2</f>
        <v>2.2350000000000002E-8</v>
      </c>
    </row>
    <row r="11" spans="2:17" ht="16.5" x14ac:dyDescent="0.35">
      <c r="B11" t="s">
        <v>33</v>
      </c>
    </row>
    <row r="12" spans="2:17" x14ac:dyDescent="0.35">
      <c r="B12" s="23" t="s">
        <v>34</v>
      </c>
      <c r="C12" s="23"/>
    </row>
    <row r="13" spans="2:17" x14ac:dyDescent="0.35">
      <c r="C13" t="s">
        <v>35</v>
      </c>
      <c r="E13">
        <f>4*PI()*((3.15)^2)</f>
        <v>124.68981242097888</v>
      </c>
      <c r="F13" t="s">
        <v>36</v>
      </c>
      <c r="G13">
        <f>4*PI()*((4.85)^2)</f>
        <v>295.5924527762636</v>
      </c>
      <c r="H13" t="s">
        <v>36</v>
      </c>
      <c r="I13">
        <f>4*PI()*((8.25)^2)</f>
        <v>855.2985999398212</v>
      </c>
      <c r="J13" t="s">
        <v>36</v>
      </c>
      <c r="K13">
        <f>4*PI()*((9.05)^2)</f>
        <v>1029.2171692425522</v>
      </c>
      <c r="L13" t="s">
        <v>36</v>
      </c>
      <c r="M13">
        <f>4*PI()*((13.9)^2)</f>
        <v>2427.9484664003357</v>
      </c>
      <c r="N13" t="s">
        <v>36</v>
      </c>
      <c r="O13">
        <f>4*PI()*((19.45)^2)</f>
        <v>4753.8894193386104</v>
      </c>
      <c r="P13" t="s">
        <v>36</v>
      </c>
      <c r="Q13">
        <f>4*PI()*((25.5)^2)</f>
        <v>8171.2824919870518</v>
      </c>
    </row>
    <row r="15" spans="2:17" x14ac:dyDescent="0.35">
      <c r="C15" t="s">
        <v>37</v>
      </c>
      <c r="E15">
        <f>4*PI()*((E6)^2)</f>
        <v>1.2468981242097891E-16</v>
      </c>
      <c r="F15" t="s">
        <v>38</v>
      </c>
      <c r="G15">
        <f>4*PI()*((G6)^2)</f>
        <v>2.9559245277626356E-16</v>
      </c>
      <c r="H15" t="s">
        <v>38</v>
      </c>
      <c r="I15">
        <f>4*PI()*((I6)^2)</f>
        <v>8.6569727162320363E-16</v>
      </c>
      <c r="J15" t="s">
        <v>38</v>
      </c>
      <c r="K15">
        <f>4*PI()*((K6)^2)</f>
        <v>1.052087963760686E-15</v>
      </c>
      <c r="L15" t="s">
        <v>38</v>
      </c>
      <c r="M15">
        <f>4*PI()*((M6)^2)</f>
        <v>2.4279484664003364E-15</v>
      </c>
      <c r="N15" t="s">
        <v>38</v>
      </c>
      <c r="O15">
        <f>4*PI()*((O6)^2)</f>
        <v>4.7538894193386124E-15</v>
      </c>
      <c r="P15" t="s">
        <v>38</v>
      </c>
      <c r="Q15">
        <f>4*PI()*((Q6)^2)</f>
        <v>6.27718486521123E-15</v>
      </c>
    </row>
    <row r="17" spans="1:17" ht="16.5" x14ac:dyDescent="0.35">
      <c r="B17" s="23" t="s">
        <v>39</v>
      </c>
      <c r="C17" s="23"/>
    </row>
    <row r="18" spans="1:17" x14ac:dyDescent="0.35">
      <c r="B18" s="23" t="s">
        <v>40</v>
      </c>
      <c r="C18" s="23"/>
    </row>
    <row r="19" spans="1:17" ht="16.5" x14ac:dyDescent="0.35">
      <c r="C19" t="s">
        <v>41</v>
      </c>
      <c r="E19">
        <f>(4/3)*PI()*((3.15)^3)</f>
        <v>130.92430304202782</v>
      </c>
      <c r="F19" t="s">
        <v>42</v>
      </c>
      <c r="G19">
        <f>(4/3)*PI()*((4.85)^3)</f>
        <v>477.87446532162608</v>
      </c>
      <c r="H19" t="s">
        <v>42</v>
      </c>
      <c r="I19">
        <f>(4/3)*PI()*((8.25)^3)</f>
        <v>2352.0711498345081</v>
      </c>
      <c r="J19" t="s">
        <v>42</v>
      </c>
      <c r="K19">
        <f>(4/3)*PI()*((9.15)^3)</f>
        <v>3208.8682894700919</v>
      </c>
      <c r="L19" t="s">
        <v>42</v>
      </c>
      <c r="M19">
        <f>(4/3)*PI()*((13.9)^3)</f>
        <v>11249.494560988222</v>
      </c>
      <c r="N19" t="s">
        <v>42</v>
      </c>
      <c r="O19">
        <f>(4/3)*PI()*((19.45)^3)</f>
        <v>30821.049735378652</v>
      </c>
      <c r="P19" t="s">
        <v>42</v>
      </c>
      <c r="Q19">
        <f>(4/3)*PI()*((25.5)^3)</f>
        <v>69455.901181889931</v>
      </c>
    </row>
    <row r="20" spans="1:17" ht="16.5" x14ac:dyDescent="0.35">
      <c r="C20" t="s">
        <v>41</v>
      </c>
      <c r="E20">
        <f>(4/3)*PI()*((E6)^3)</f>
        <v>1.3092430304202783E-25</v>
      </c>
      <c r="F20" t="s">
        <v>43</v>
      </c>
      <c r="G20">
        <f>(4/3)*PI()*((G6)^3)</f>
        <v>4.7787446532162597E-25</v>
      </c>
      <c r="H20" t="s">
        <v>43</v>
      </c>
      <c r="I20">
        <f>(4/3)*PI()*((I6)^3)</f>
        <v>2.3950957848241971E-24</v>
      </c>
      <c r="J20" t="s">
        <v>43</v>
      </c>
      <c r="K20">
        <f>(4/3)*PI()*((K6)^3)</f>
        <v>3.2088682894700923E-24</v>
      </c>
      <c r="L20" t="s">
        <v>43</v>
      </c>
      <c r="M20">
        <f>(4/3)*PI()*((M6)^3)</f>
        <v>1.1249494560988226E-23</v>
      </c>
      <c r="N20" t="s">
        <v>43</v>
      </c>
      <c r="O20">
        <f>(4/3)*PI()*((O6)^3)</f>
        <v>3.082104973537867E-23</v>
      </c>
      <c r="P20" t="s">
        <v>43</v>
      </c>
      <c r="Q20">
        <f>(4/3)*PI()*((Q6)^3)</f>
        <v>4.6765027245823663E-23</v>
      </c>
    </row>
    <row r="22" spans="1:17" x14ac:dyDescent="0.35">
      <c r="B22" s="23" t="s">
        <v>45</v>
      </c>
      <c r="C22" s="23"/>
      <c r="D22" s="23" t="s">
        <v>46</v>
      </c>
      <c r="M22" s="23"/>
      <c r="N22" s="23"/>
      <c r="O22" s="23"/>
    </row>
    <row r="23" spans="1:17" x14ac:dyDescent="0.35">
      <c r="C23" t="s">
        <v>48</v>
      </c>
      <c r="E23">
        <f>D2*E20</f>
        <v>6.7753326824249404E-19</v>
      </c>
      <c r="G23">
        <f>D2*G20</f>
        <v>2.4730003580394145E-18</v>
      </c>
      <c r="H23" t="s">
        <v>32</v>
      </c>
      <c r="I23">
        <f>D2*I20</f>
        <v>1.239462068646522E-17</v>
      </c>
      <c r="J23" t="s">
        <v>32</v>
      </c>
      <c r="K23">
        <f>D2*K20</f>
        <v>1.6605893398007728E-17</v>
      </c>
      <c r="L23" t="s">
        <v>32</v>
      </c>
      <c r="M23">
        <f>D2*M20</f>
        <v>5.8216134353114071E-17</v>
      </c>
      <c r="N23" t="s">
        <v>32</v>
      </c>
      <c r="O23">
        <f>D2*O20</f>
        <v>1.5949893238058463E-16</v>
      </c>
      <c r="P23" t="s">
        <v>32</v>
      </c>
      <c r="Q23">
        <f>D2*Q20</f>
        <v>2.4200901599713743E-16</v>
      </c>
    </row>
    <row r="26" spans="1:17" x14ac:dyDescent="0.35">
      <c r="A26" s="23" t="s">
        <v>62</v>
      </c>
    </row>
    <row r="27" spans="1:17" x14ac:dyDescent="0.35">
      <c r="E27" s="26">
        <f>1/E23</f>
        <v>1.4759422848622287E+18</v>
      </c>
      <c r="F27" s="26"/>
      <c r="G27" s="26">
        <f t="shared" ref="G27:Q27" si="0">1/G23</f>
        <v>4.0436710684215034E+17</v>
      </c>
      <c r="H27" s="26"/>
      <c r="I27" s="26">
        <f t="shared" si="0"/>
        <v>8.068016160365344E+16</v>
      </c>
      <c r="J27" s="26"/>
      <c r="K27" s="26">
        <f t="shared" si="0"/>
        <v>6.021958445909172E+16</v>
      </c>
      <c r="L27" s="26"/>
      <c r="M27" s="26">
        <f t="shared" si="0"/>
        <v>1.7177368630050726E+16</v>
      </c>
      <c r="N27" s="26"/>
      <c r="O27" s="26">
        <f t="shared" si="0"/>
        <v>6269634442529518</v>
      </c>
      <c r="P27" s="26"/>
      <c r="Q27" s="26">
        <f t="shared" si="0"/>
        <v>4132077459510138</v>
      </c>
    </row>
    <row r="28" spans="1:17" x14ac:dyDescent="0.35">
      <c r="A28" s="23" t="s">
        <v>54</v>
      </c>
    </row>
    <row r="29" spans="1:17" x14ac:dyDescent="0.35">
      <c r="A29" s="29" t="s">
        <v>64</v>
      </c>
      <c r="B29" s="29"/>
      <c r="E29" s="27">
        <f>E15*E27</f>
        <v>184.03496664366233</v>
      </c>
      <c r="F29" s="27"/>
      <c r="G29" s="27">
        <f t="shared" ref="G29:Q29" si="1">G15*G27</f>
        <v>119.52786493351265</v>
      </c>
      <c r="H29" s="27"/>
      <c r="I29" s="27">
        <f t="shared" si="1"/>
        <v>69.844595774401938</v>
      </c>
      <c r="J29" s="27"/>
      <c r="K29" s="27">
        <f t="shared" si="1"/>
        <v>63.356299992080459</v>
      </c>
      <c r="L29" s="27"/>
      <c r="M29" s="27">
        <f t="shared" si="1"/>
        <v>41.70576582212491</v>
      </c>
      <c r="N29" s="27"/>
      <c r="O29" s="27">
        <f t="shared" si="1"/>
        <v>29.805148839462017</v>
      </c>
      <c r="P29" s="27"/>
      <c r="Q29" s="27">
        <f t="shared" si="1"/>
        <v>25.937814090717506</v>
      </c>
    </row>
    <row r="32" spans="1:17" x14ac:dyDescent="0.35">
      <c r="A32" s="23" t="s">
        <v>66</v>
      </c>
      <c r="B32" s="23"/>
      <c r="C32" s="23"/>
    </row>
    <row r="33" spans="1:17" x14ac:dyDescent="0.35">
      <c r="C33" t="s">
        <v>48</v>
      </c>
      <c r="E33">
        <v>0.04</v>
      </c>
      <c r="F33" t="s">
        <v>32</v>
      </c>
      <c r="G33">
        <v>8.1000000000000003E-2</v>
      </c>
      <c r="H33" t="s">
        <v>32</v>
      </c>
      <c r="I33">
        <v>0.14399999999999999</v>
      </c>
      <c r="J33" t="s">
        <v>32</v>
      </c>
      <c r="K33">
        <v>0.2797</v>
      </c>
      <c r="L33" t="s">
        <v>32</v>
      </c>
      <c r="M33">
        <v>0.36320000000000002</v>
      </c>
      <c r="N33" t="s">
        <v>32</v>
      </c>
      <c r="O33">
        <v>0.55940000000000001</v>
      </c>
      <c r="P33" t="s">
        <v>32</v>
      </c>
      <c r="Q33">
        <v>0.63380000000000003</v>
      </c>
    </row>
    <row r="35" spans="1:17" x14ac:dyDescent="0.35">
      <c r="A35" s="23" t="s">
        <v>51</v>
      </c>
    </row>
    <row r="36" spans="1:17" x14ac:dyDescent="0.35">
      <c r="E36">
        <f>E33/E23</f>
        <v>5.9037691394489152E+16</v>
      </c>
      <c r="G36">
        <f>G33/G23</f>
        <v>3.275373565421418E+16</v>
      </c>
      <c r="H36" t="s">
        <v>52</v>
      </c>
      <c r="I36">
        <f>I33/I23</f>
        <v>1.1617943270926096E+16</v>
      </c>
      <c r="J36" t="s">
        <v>52</v>
      </c>
      <c r="K36">
        <f>K33/K23</f>
        <v>1.6843417773207954E+16</v>
      </c>
      <c r="L36" t="s">
        <v>52</v>
      </c>
      <c r="M36">
        <f>M33/M23</f>
        <v>6238820286434424</v>
      </c>
      <c r="N36" t="s">
        <v>52</v>
      </c>
      <c r="O36">
        <f>O33/O23</f>
        <v>3507233507151012.5</v>
      </c>
      <c r="P36" t="s">
        <v>52</v>
      </c>
      <c r="Q36">
        <f>Q33/Q23</f>
        <v>2618910693837525.5</v>
      </c>
    </row>
    <row r="37" spans="1:17" x14ac:dyDescent="0.35">
      <c r="A37" s="23" t="s">
        <v>54</v>
      </c>
    </row>
    <row r="38" spans="1:17" x14ac:dyDescent="0.35">
      <c r="A38" s="29" t="s">
        <v>63</v>
      </c>
      <c r="B38" s="28"/>
      <c r="C38" s="28"/>
      <c r="E38" s="24">
        <f>E15*E36</f>
        <v>7.3613986657464929</v>
      </c>
      <c r="F38" s="24"/>
      <c r="G38" s="24">
        <f>G15*G36</f>
        <v>9.6817570596145259</v>
      </c>
      <c r="H38" s="24" t="s">
        <v>26</v>
      </c>
      <c r="I38" s="24">
        <f>I15*I36</f>
        <v>10.057621791513879</v>
      </c>
      <c r="J38" s="24" t="s">
        <v>26</v>
      </c>
      <c r="K38" s="24">
        <f>K15*K36</f>
        <v>17.720757107784905</v>
      </c>
      <c r="L38" s="24" t="s">
        <v>26</v>
      </c>
      <c r="M38" s="24">
        <f>M15*M36</f>
        <v>15.147534146595767</v>
      </c>
      <c r="N38" s="24" t="s">
        <v>26</v>
      </c>
      <c r="O38" s="24">
        <f>O15*O36</f>
        <v>16.673000260795053</v>
      </c>
      <c r="P38" s="24" t="s">
        <v>26</v>
      </c>
      <c r="Q38" s="24">
        <f>Q15*Q36</f>
        <v>16.439386570696758</v>
      </c>
    </row>
    <row r="40" spans="1:17" x14ac:dyDescent="0.35">
      <c r="A40" s="23" t="s">
        <v>58</v>
      </c>
      <c r="B40" s="23"/>
      <c r="C40" s="23"/>
    </row>
    <row r="41" spans="1:17" x14ac:dyDescent="0.35">
      <c r="B41" t="s">
        <v>59</v>
      </c>
      <c r="E41">
        <f>E36*2</f>
        <v>1.180753827889783E+17</v>
      </c>
      <c r="G41">
        <f>G36*2</f>
        <v>6.550747130842836E+16</v>
      </c>
      <c r="I41">
        <f>I36*2</f>
        <v>2.3235886541852192E+16</v>
      </c>
      <c r="K41">
        <f>K36*2</f>
        <v>3.3686835546415908E+16</v>
      </c>
      <c r="M41">
        <f>M36*2</f>
        <v>1.2477640572868848E+16</v>
      </c>
      <c r="O41">
        <f>O36*2</f>
        <v>7014467014302025</v>
      </c>
      <c r="Q41">
        <f>Q36*2</f>
        <v>5237821387675051</v>
      </c>
    </row>
    <row r="42" spans="1:17" x14ac:dyDescent="0.35">
      <c r="B42" t="s">
        <v>60</v>
      </c>
      <c r="E42">
        <f>E15/2</f>
        <v>6.2344906210489455E-17</v>
      </c>
      <c r="G42">
        <f>G15/2</f>
        <v>1.4779622638813178E-16</v>
      </c>
      <c r="I42">
        <f>I15/2</f>
        <v>4.3284863581160181E-16</v>
      </c>
      <c r="K42">
        <f>K15/2</f>
        <v>5.2604398188034299E-16</v>
      </c>
      <c r="M42">
        <f>M15/2</f>
        <v>1.2139742332001682E-15</v>
      </c>
      <c r="O42">
        <f>O15/2</f>
        <v>2.3769447096693062E-15</v>
      </c>
      <c r="Q42">
        <f>Q15/2</f>
        <v>3.138592432605615E-15</v>
      </c>
    </row>
    <row r="43" spans="1:17" x14ac:dyDescent="0.35">
      <c r="B43" t="s">
        <v>61</v>
      </c>
      <c r="E43">
        <f>E41*E42</f>
        <v>7.3613986657464929</v>
      </c>
      <c r="G43">
        <f>G41*G42</f>
        <v>9.6817570596145259</v>
      </c>
      <c r="I43">
        <f>I41*I42</f>
        <v>10.057621791513879</v>
      </c>
      <c r="K43">
        <f>K41*K42</f>
        <v>17.720757107784905</v>
      </c>
      <c r="M43">
        <f>M41*M42</f>
        <v>15.147534146595767</v>
      </c>
      <c r="O43">
        <f>O41*O42</f>
        <v>16.673000260795053</v>
      </c>
      <c r="Q43">
        <f>Q41*Q42</f>
        <v>16.439386570696758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opLeftCell="R1" workbookViewId="0">
      <selection activeCell="X30" sqref="X30"/>
    </sheetView>
  </sheetViews>
  <sheetFormatPr defaultRowHeight="14.5" x14ac:dyDescent="0.35"/>
  <cols>
    <col min="45" max="45" width="18.81640625" customWidth="1"/>
    <col min="46" max="46" width="24.453125" customWidth="1"/>
    <col min="56" max="57" width="11.7265625" customWidth="1"/>
  </cols>
  <sheetData>
    <row r="1" spans="1:46" x14ac:dyDescent="0.35">
      <c r="A1" t="s">
        <v>80</v>
      </c>
      <c r="K1" t="s">
        <v>81</v>
      </c>
      <c r="S1" t="s">
        <v>87</v>
      </c>
      <c r="AA1" t="s">
        <v>82</v>
      </c>
      <c r="AJ1" t="s">
        <v>84</v>
      </c>
      <c r="AK1" t="s">
        <v>88</v>
      </c>
    </row>
    <row r="2" spans="1:46" x14ac:dyDescent="0.35">
      <c r="B2" s="7">
        <v>6.3</v>
      </c>
      <c r="C2" s="7">
        <v>9.6999999999999993</v>
      </c>
      <c r="D2" s="7">
        <v>16.600000000000001</v>
      </c>
      <c r="E2" s="7">
        <v>18.3</v>
      </c>
      <c r="F2" s="7">
        <v>27.8</v>
      </c>
      <c r="G2" s="7">
        <v>38.9</v>
      </c>
      <c r="H2" s="7">
        <v>44.7</v>
      </c>
      <c r="K2" s="7">
        <v>6.3</v>
      </c>
      <c r="L2" s="7">
        <v>9.6999999999999993</v>
      </c>
      <c r="M2" s="7">
        <v>16.600000000000001</v>
      </c>
      <c r="N2" s="7">
        <v>18.3</v>
      </c>
      <c r="O2" s="7">
        <v>27.8</v>
      </c>
      <c r="P2" s="7">
        <v>38.9</v>
      </c>
      <c r="Q2" s="7">
        <v>44.7</v>
      </c>
      <c r="S2" s="7">
        <v>6.3</v>
      </c>
      <c r="T2" s="7">
        <v>9.6999999999999993</v>
      </c>
      <c r="U2" s="7">
        <v>16.600000000000001</v>
      </c>
      <c r="V2" s="7">
        <v>18.3</v>
      </c>
      <c r="W2" s="7">
        <v>27.8</v>
      </c>
      <c r="X2" s="7">
        <v>38.9</v>
      </c>
      <c r="Y2" s="7">
        <v>44.7</v>
      </c>
      <c r="AA2" s="7">
        <v>6.3</v>
      </c>
      <c r="AB2" s="7">
        <v>9.6999999999999993</v>
      </c>
      <c r="AC2" s="7">
        <v>16.600000000000001</v>
      </c>
      <c r="AD2" s="7">
        <v>18.3</v>
      </c>
      <c r="AE2" s="7">
        <v>27.8</v>
      </c>
      <c r="AF2" s="7">
        <v>38.9</v>
      </c>
      <c r="AG2" s="7">
        <v>44.7</v>
      </c>
      <c r="AJ2" s="7">
        <v>6.3</v>
      </c>
      <c r="AK2" s="7">
        <v>9.6999999999999993</v>
      </c>
      <c r="AL2" s="7">
        <v>16.600000000000001</v>
      </c>
      <c r="AM2" s="7">
        <v>18.3</v>
      </c>
      <c r="AN2" s="7">
        <v>27.8</v>
      </c>
      <c r="AO2" s="7">
        <v>38.9</v>
      </c>
      <c r="AP2" s="7">
        <v>44.7</v>
      </c>
      <c r="AS2" t="s">
        <v>96</v>
      </c>
      <c r="AT2" t="s">
        <v>97</v>
      </c>
    </row>
    <row r="3" spans="1:46" x14ac:dyDescent="0.35">
      <c r="B3" t="s">
        <v>16</v>
      </c>
      <c r="C3" t="s">
        <v>17</v>
      </c>
      <c r="D3" t="s">
        <v>27</v>
      </c>
      <c r="E3" t="s">
        <v>28</v>
      </c>
      <c r="F3" t="s">
        <v>74</v>
      </c>
      <c r="G3" t="s">
        <v>30</v>
      </c>
      <c r="H3" t="s">
        <v>75</v>
      </c>
      <c r="K3" t="s">
        <v>16</v>
      </c>
      <c r="L3" t="s">
        <v>17</v>
      </c>
      <c r="M3" t="s">
        <v>27</v>
      </c>
      <c r="N3" t="s">
        <v>28</v>
      </c>
      <c r="O3" t="s">
        <v>74</v>
      </c>
      <c r="P3" t="s">
        <v>30</v>
      </c>
      <c r="Q3" t="s">
        <v>75</v>
      </c>
      <c r="S3" t="s">
        <v>16</v>
      </c>
      <c r="T3" t="s">
        <v>17</v>
      </c>
      <c r="U3" t="s">
        <v>27</v>
      </c>
      <c r="V3" t="s">
        <v>28</v>
      </c>
      <c r="W3" t="s">
        <v>74</v>
      </c>
      <c r="X3" t="s">
        <v>30</v>
      </c>
      <c r="Y3" t="s">
        <v>75</v>
      </c>
      <c r="AA3" t="s">
        <v>16</v>
      </c>
      <c r="AB3" t="s">
        <v>17</v>
      </c>
      <c r="AC3" t="s">
        <v>27</v>
      </c>
      <c r="AD3" t="s">
        <v>28</v>
      </c>
      <c r="AE3" t="s">
        <v>74</v>
      </c>
      <c r="AF3" t="s">
        <v>30</v>
      </c>
      <c r="AG3" t="s">
        <v>75</v>
      </c>
      <c r="AJ3" t="s">
        <v>16</v>
      </c>
      <c r="AK3" t="s">
        <v>17</v>
      </c>
      <c r="AL3" t="s">
        <v>27</v>
      </c>
      <c r="AM3" t="s">
        <v>28</v>
      </c>
      <c r="AN3" t="s">
        <v>74</v>
      </c>
      <c r="AO3" t="s">
        <v>30</v>
      </c>
      <c r="AP3" t="s">
        <v>75</v>
      </c>
      <c r="AS3">
        <v>6.3</v>
      </c>
      <c r="AT3">
        <v>3.8963889933547389</v>
      </c>
    </row>
    <row r="4" spans="1:46" x14ac:dyDescent="0.35">
      <c r="S4">
        <v>1</v>
      </c>
      <c r="T4">
        <v>0.5</v>
      </c>
      <c r="U4">
        <v>0.5</v>
      </c>
      <c r="V4">
        <v>0.23</v>
      </c>
      <c r="W4">
        <v>0.14000000000000001</v>
      </c>
      <c r="X4">
        <v>0.1</v>
      </c>
      <c r="Y4">
        <v>0.1</v>
      </c>
      <c r="AJ4" t="s">
        <v>85</v>
      </c>
      <c r="AS4">
        <v>9.6999999999999993</v>
      </c>
      <c r="AT4">
        <v>1.8762319721876102</v>
      </c>
    </row>
    <row r="5" spans="1:46" x14ac:dyDescent="0.35">
      <c r="A5" t="s">
        <v>77</v>
      </c>
      <c r="B5" s="22">
        <v>33.855526544821572</v>
      </c>
      <c r="C5" s="22">
        <v>31.333333333333343</v>
      </c>
      <c r="D5" s="22">
        <v>29.676511954992975</v>
      </c>
      <c r="E5" s="22">
        <v>28.873339615014643</v>
      </c>
      <c r="F5" s="22">
        <v>17.021276595744681</v>
      </c>
      <c r="G5" s="22">
        <v>12.5</v>
      </c>
      <c r="H5" s="22">
        <v>7.834101382488484</v>
      </c>
      <c r="K5" s="18">
        <f>(B5/100)*3.5</f>
        <v>1.184943429068755</v>
      </c>
      <c r="L5" s="18">
        <f t="shared" ref="L5:Q7" si="0">(C5/100)*3.5</f>
        <v>1.0966666666666669</v>
      </c>
      <c r="M5" s="18">
        <f t="shared" si="0"/>
        <v>1.0386779184247541</v>
      </c>
      <c r="N5" s="18">
        <f t="shared" si="0"/>
        <v>1.0105668865255124</v>
      </c>
      <c r="O5" s="18">
        <f t="shared" si="0"/>
        <v>0.5957446808510638</v>
      </c>
      <c r="P5" s="18">
        <f t="shared" si="0"/>
        <v>0.4375</v>
      </c>
      <c r="Q5" s="18">
        <f t="shared" si="0"/>
        <v>0.27419354838709697</v>
      </c>
      <c r="S5" s="19">
        <f>K5/1</f>
        <v>1.184943429068755</v>
      </c>
      <c r="T5" s="19">
        <f>L5/0.5</f>
        <v>2.1933333333333338</v>
      </c>
      <c r="U5" s="19">
        <f>M5/0.5</f>
        <v>2.0773558368495082</v>
      </c>
      <c r="V5" s="19">
        <f>N5/0.23</f>
        <v>4.3937690718500537</v>
      </c>
      <c r="W5" s="19">
        <f>O5/0.14</f>
        <v>4.2553191489361692</v>
      </c>
      <c r="X5" s="19">
        <f>P5/0.1</f>
        <v>4.375</v>
      </c>
      <c r="Y5" s="19">
        <f>Q5/0.1</f>
        <v>2.7419354838709697</v>
      </c>
      <c r="AA5" s="20">
        <f>K5/0.04</f>
        <v>29.623585726718876</v>
      </c>
      <c r="AB5" s="20">
        <f>L5/0.0405</f>
        <v>27.078189300411527</v>
      </c>
      <c r="AC5" s="20">
        <f>M5/0.072</f>
        <v>14.426082200343808</v>
      </c>
      <c r="AD5" s="20">
        <f>N5/0.0564</f>
        <v>17.917852597970079</v>
      </c>
      <c r="AE5" s="20">
        <f>O5/0.051</f>
        <v>11.681268251981644</v>
      </c>
      <c r="AF5" s="20">
        <f>P5/0.056</f>
        <v>7.8125</v>
      </c>
      <c r="AG5" s="20">
        <f>Q5/0.063</f>
        <v>4.3522785458269357</v>
      </c>
      <c r="AJ5" s="30">
        <f>AA5/3.9</f>
        <v>7.5957912119791988</v>
      </c>
      <c r="AK5" s="30">
        <f>AB5/1.88</f>
        <v>14.403292181069961</v>
      </c>
      <c r="AL5" s="30">
        <f>AC5/1.53</f>
        <v>9.428811895649547</v>
      </c>
      <c r="AM5" s="30">
        <f>AD5/1.03</f>
        <v>17.395973396087456</v>
      </c>
      <c r="AN5" s="30">
        <f>AE5/0.712</f>
        <v>16.406275634805681</v>
      </c>
      <c r="AO5" s="30">
        <f>AF5/0.363</f>
        <v>21.522038567493112</v>
      </c>
      <c r="AP5" s="30">
        <f t="shared" ref="AP5:AP6" si="1">AG5/0.292</f>
        <v>14.905063513105945</v>
      </c>
      <c r="AS5">
        <v>16.600000000000001</v>
      </c>
      <c r="AT5">
        <v>1.5248526014758785</v>
      </c>
    </row>
    <row r="6" spans="1:46" x14ac:dyDescent="0.35">
      <c r="A6" t="s">
        <v>78</v>
      </c>
      <c r="B6" s="22">
        <v>34.725848563968668</v>
      </c>
      <c r="C6" s="22">
        <v>30.666666666666657</v>
      </c>
      <c r="D6" s="22">
        <v>28.270042194092824</v>
      </c>
      <c r="E6" s="22">
        <v>25.352217813777727</v>
      </c>
      <c r="F6" s="22">
        <v>11.347517730496449</v>
      </c>
      <c r="G6" s="22">
        <v>10.416666666666657</v>
      </c>
      <c r="H6" s="22">
        <v>4.7619047619047734</v>
      </c>
      <c r="K6" s="18">
        <f>(B6/100)*3.5</f>
        <v>1.2154046997389034</v>
      </c>
      <c r="L6" s="18">
        <f t="shared" si="0"/>
        <v>1.073333333333333</v>
      </c>
      <c r="M6" s="18">
        <f t="shared" si="0"/>
        <v>0.98945147679324896</v>
      </c>
      <c r="N6" s="18">
        <f t="shared" si="0"/>
        <v>0.8873276234822205</v>
      </c>
      <c r="O6" s="18">
        <f t="shared" si="0"/>
        <v>0.39716312056737574</v>
      </c>
      <c r="P6" s="18">
        <f t="shared" si="0"/>
        <v>0.36458333333333304</v>
      </c>
      <c r="Q6" s="18">
        <f t="shared" si="0"/>
        <v>0.16666666666666707</v>
      </c>
      <c r="S6" s="19">
        <f t="shared" ref="S6:S7" si="2">K6/1</f>
        <v>1.2154046997389034</v>
      </c>
      <c r="T6" s="19">
        <f t="shared" ref="T6:U7" si="3">L6/0.5</f>
        <v>2.1466666666666661</v>
      </c>
      <c r="U6" s="19">
        <f t="shared" si="3"/>
        <v>1.9789029535864979</v>
      </c>
      <c r="V6" s="19">
        <f t="shared" ref="V6:V7" si="4">N6/0.23</f>
        <v>3.8579461890531324</v>
      </c>
      <c r="W6" s="19">
        <f t="shared" ref="W6:W7" si="5">O6/0.14</f>
        <v>2.8368794326241122</v>
      </c>
      <c r="X6" s="19">
        <f t="shared" ref="X6:X7" si="6">P6/0.1</f>
        <v>3.6458333333333304</v>
      </c>
      <c r="Y6" s="19">
        <f t="shared" ref="Y6" si="7">Q6/0.1</f>
        <v>1.6666666666666707</v>
      </c>
      <c r="AA6" s="20">
        <f>K6/0.04</f>
        <v>30.385117493472585</v>
      </c>
      <c r="AB6" s="20">
        <f>L6/0.0405</f>
        <v>26.502057613168716</v>
      </c>
      <c r="AC6" s="20">
        <f>M6/0.072</f>
        <v>13.742381622128459</v>
      </c>
      <c r="AD6" s="20">
        <f>N6/0.0564</f>
        <v>15.732759281599655</v>
      </c>
      <c r="AE6" s="20">
        <f>O6/0.051</f>
        <v>7.7875121679877601</v>
      </c>
      <c r="AF6" s="20">
        <f t="shared" ref="AF6:AF7" si="8">P6/0.056</f>
        <v>6.5104166666666616</v>
      </c>
      <c r="AG6" s="20">
        <f t="shared" ref="AG6" si="9">Q6/0.063</f>
        <v>2.6455026455026518</v>
      </c>
      <c r="AJ6" s="30">
        <f t="shared" ref="AJ6:AJ7" si="10">AA6/3.9</f>
        <v>7.7910557675570731</v>
      </c>
      <c r="AK6" s="30">
        <f t="shared" ref="AK6:AK7" si="11">AB6/1.88</f>
        <v>14.096839155940808</v>
      </c>
      <c r="AL6" s="30">
        <f t="shared" ref="AL6:AL7" si="12">AC6/1.53</f>
        <v>8.981948772632979</v>
      </c>
      <c r="AM6" s="30">
        <f t="shared" ref="AM6:AM7" si="13">AD6/1.03</f>
        <v>15.274523574368597</v>
      </c>
      <c r="AN6" s="30">
        <f t="shared" ref="AN6:AN7" si="14">AE6/0.712</f>
        <v>10.93751708987045</v>
      </c>
      <c r="AO6" s="30">
        <f t="shared" ref="AO6:AO7" si="15">AF6/0.363</f>
        <v>17.935032139577579</v>
      </c>
      <c r="AP6" s="30">
        <f t="shared" si="1"/>
        <v>9.0599405667899031</v>
      </c>
      <c r="AS6">
        <v>18.3</v>
      </c>
      <c r="AT6">
        <v>1.029266299826157</v>
      </c>
    </row>
    <row r="7" spans="1:46" x14ac:dyDescent="0.35">
      <c r="A7" t="s">
        <v>79</v>
      </c>
      <c r="B7" s="22">
        <v>33.420365535248038</v>
      </c>
      <c r="C7" s="22">
        <v>31.333333333333343</v>
      </c>
      <c r="D7" s="22">
        <v>30.379746835443044</v>
      </c>
      <c r="E7" s="22">
        <v>28.873339615014643</v>
      </c>
      <c r="F7" s="22">
        <v>11.347517730496449</v>
      </c>
      <c r="G7" s="22">
        <v>10.416666666666657</v>
      </c>
      <c r="H7" s="22"/>
      <c r="K7" s="18">
        <f>(B7/100)*3.5</f>
        <v>1.1697127937336813</v>
      </c>
      <c r="L7" s="18">
        <f t="shared" si="0"/>
        <v>1.0966666666666669</v>
      </c>
      <c r="M7" s="18">
        <f t="shared" si="0"/>
        <v>1.0632911392405067</v>
      </c>
      <c r="N7" s="18">
        <f t="shared" si="0"/>
        <v>1.0105668865255124</v>
      </c>
      <c r="O7" s="18">
        <f t="shared" si="0"/>
        <v>0.39716312056737574</v>
      </c>
      <c r="P7" s="18">
        <f t="shared" si="0"/>
        <v>0.36458333333333304</v>
      </c>
      <c r="Q7" s="18"/>
      <c r="S7" s="19">
        <f t="shared" si="2"/>
        <v>1.1697127937336813</v>
      </c>
      <c r="T7" s="19">
        <f t="shared" si="3"/>
        <v>2.1933333333333338</v>
      </c>
      <c r="U7" s="19">
        <f t="shared" si="3"/>
        <v>2.1265822784810133</v>
      </c>
      <c r="V7" s="19">
        <f t="shared" si="4"/>
        <v>4.3937690718500537</v>
      </c>
      <c r="W7" s="19">
        <f t="shared" si="5"/>
        <v>2.8368794326241122</v>
      </c>
      <c r="X7" s="19">
        <f t="shared" si="6"/>
        <v>3.6458333333333304</v>
      </c>
      <c r="Y7" s="19"/>
      <c r="AA7" s="20">
        <f>K7/0.04</f>
        <v>29.242819843342033</v>
      </c>
      <c r="AB7" s="20">
        <f>L7/0.0405</f>
        <v>27.078189300411527</v>
      </c>
      <c r="AC7" s="20">
        <f>M7/0.072</f>
        <v>14.767932489451482</v>
      </c>
      <c r="AD7" s="20">
        <f>N7/0.0564</f>
        <v>17.917852597970079</v>
      </c>
      <c r="AE7" s="20">
        <f>O7/0.051</f>
        <v>7.7875121679877601</v>
      </c>
      <c r="AF7" s="20">
        <f t="shared" si="8"/>
        <v>6.5104166666666616</v>
      </c>
      <c r="AG7" s="20"/>
      <c r="AJ7" s="30">
        <f t="shared" si="10"/>
        <v>7.4981589341902648</v>
      </c>
      <c r="AK7" s="30">
        <f t="shared" si="11"/>
        <v>14.403292181069961</v>
      </c>
      <c r="AL7" s="30">
        <f t="shared" si="12"/>
        <v>9.6522434571578319</v>
      </c>
      <c r="AM7" s="30">
        <f t="shared" si="13"/>
        <v>17.395973396087456</v>
      </c>
      <c r="AN7" s="30">
        <f t="shared" si="14"/>
        <v>10.93751708987045</v>
      </c>
      <c r="AO7" s="30">
        <f t="shared" si="15"/>
        <v>17.935032139577579</v>
      </c>
      <c r="AP7" s="30"/>
      <c r="AS7">
        <v>27.8</v>
      </c>
      <c r="AT7">
        <v>0.7099868050560515</v>
      </c>
    </row>
    <row r="8" spans="1:46" x14ac:dyDescent="0.35">
      <c r="AQ8" s="23" t="s">
        <v>15</v>
      </c>
      <c r="AS8">
        <v>38.9</v>
      </c>
      <c r="AT8">
        <v>0.36343178766687567</v>
      </c>
    </row>
    <row r="9" spans="1:46" x14ac:dyDescent="0.35">
      <c r="A9" t="s">
        <v>15</v>
      </c>
      <c r="B9">
        <f t="shared" ref="B9:H9" si="16">AVERAGE(B5:B7)</f>
        <v>34.000580214679424</v>
      </c>
      <c r="C9">
        <f t="shared" si="16"/>
        <v>31.111111111111114</v>
      </c>
      <c r="D9">
        <f t="shared" si="16"/>
        <v>29.442100328176281</v>
      </c>
      <c r="E9">
        <f t="shared" si="16"/>
        <v>27.699632347935673</v>
      </c>
      <c r="F9">
        <f t="shared" si="16"/>
        <v>13.238770685579192</v>
      </c>
      <c r="G9">
        <f t="shared" si="16"/>
        <v>11.111111111111105</v>
      </c>
      <c r="H9">
        <f t="shared" si="16"/>
        <v>6.2980030721966287</v>
      </c>
      <c r="J9" t="s">
        <v>15</v>
      </c>
      <c r="K9">
        <f t="shared" ref="K9:Q9" si="17">AVERAGE(K5:K7)</f>
        <v>1.1900203075137801</v>
      </c>
      <c r="L9">
        <f t="shared" si="17"/>
        <v>1.0888888888888888</v>
      </c>
      <c r="M9">
        <f t="shared" si="17"/>
        <v>1.0304735114861698</v>
      </c>
      <c r="N9">
        <f t="shared" si="17"/>
        <v>0.9694871321777484</v>
      </c>
      <c r="O9">
        <f t="shared" si="17"/>
        <v>0.46335697399527181</v>
      </c>
      <c r="P9">
        <f t="shared" si="17"/>
        <v>0.38888888888888867</v>
      </c>
      <c r="Q9">
        <f t="shared" si="17"/>
        <v>0.22043010752688202</v>
      </c>
      <c r="R9" t="s">
        <v>15</v>
      </c>
      <c r="S9">
        <f t="shared" ref="S9:Y9" si="18">AVERAGE(S5:S7)</f>
        <v>1.1900203075137801</v>
      </c>
      <c r="T9">
        <f t="shared" si="18"/>
        <v>2.1777777777777776</v>
      </c>
      <c r="U9">
        <f t="shared" si="18"/>
        <v>2.0609470229723397</v>
      </c>
      <c r="V9">
        <f t="shared" si="18"/>
        <v>4.2151614442510796</v>
      </c>
      <c r="W9">
        <f t="shared" si="18"/>
        <v>3.3096926713947981</v>
      </c>
      <c r="X9">
        <f t="shared" si="18"/>
        <v>3.8888888888888871</v>
      </c>
      <c r="Y9">
        <f t="shared" si="18"/>
        <v>2.2043010752688201</v>
      </c>
      <c r="Z9" t="s">
        <v>15</v>
      </c>
      <c r="AA9">
        <f t="shared" ref="AA9:AG9" si="19">AVERAGE(AA5:AA7)</f>
        <v>29.7505076878445</v>
      </c>
      <c r="AB9">
        <f t="shared" si="19"/>
        <v>26.886145404663921</v>
      </c>
      <c r="AC9">
        <f t="shared" si="19"/>
        <v>14.312132103974584</v>
      </c>
      <c r="AD9">
        <f t="shared" si="19"/>
        <v>17.189488159179941</v>
      </c>
      <c r="AE9">
        <f t="shared" si="19"/>
        <v>9.0854308626523892</v>
      </c>
      <c r="AF9">
        <f t="shared" si="19"/>
        <v>6.9444444444444402</v>
      </c>
      <c r="AG9">
        <f t="shared" si="19"/>
        <v>3.4988905956647938</v>
      </c>
      <c r="AI9" t="s">
        <v>15</v>
      </c>
      <c r="AJ9">
        <f t="shared" ref="AJ9:AO9" si="20">AVERAGE(AJ5:AJ7)</f>
        <v>7.6283353045755122</v>
      </c>
      <c r="AK9">
        <f t="shared" si="20"/>
        <v>14.301141172693576</v>
      </c>
      <c r="AL9">
        <f t="shared" si="20"/>
        <v>9.3543347084801187</v>
      </c>
      <c r="AM9">
        <f t="shared" si="20"/>
        <v>16.688823455514505</v>
      </c>
      <c r="AN9">
        <f t="shared" si="20"/>
        <v>12.760436604848861</v>
      </c>
      <c r="AO9">
        <f t="shared" si="20"/>
        <v>19.130700948882758</v>
      </c>
      <c r="AP9">
        <f>AVERAGE(AP5:AP7)</f>
        <v>11.982502039947924</v>
      </c>
      <c r="AQ9" s="23">
        <f>AVERAGE(AJ9:AP9)</f>
        <v>13.120896319277607</v>
      </c>
      <c r="AS9">
        <v>44.7</v>
      </c>
      <c r="AT9">
        <v>0.29193707600865026</v>
      </c>
    </row>
    <row r="10" spans="1:46" x14ac:dyDescent="0.35">
      <c r="S10" t="s">
        <v>83</v>
      </c>
      <c r="AA10" t="s">
        <v>83</v>
      </c>
      <c r="AJ10" t="s">
        <v>83</v>
      </c>
    </row>
    <row r="11" spans="1:46" x14ac:dyDescent="0.35">
      <c r="S11">
        <f t="shared" ref="S11:Y11" si="21">STDEV(S5:S7)/SQRT(3)</f>
        <v>1.3432157802039622E-2</v>
      </c>
      <c r="T11">
        <f t="shared" si="21"/>
        <v>1.5555555555555914E-2</v>
      </c>
      <c r="U11">
        <f t="shared" si="21"/>
        <v>4.3413640828533086E-2</v>
      </c>
      <c r="V11">
        <f t="shared" si="21"/>
        <v>0.17860762759897381</v>
      </c>
      <c r="W11">
        <f t="shared" si="21"/>
        <v>0.47281323877068449</v>
      </c>
      <c r="X11">
        <f t="shared" si="21"/>
        <v>0.24305555555555655</v>
      </c>
      <c r="Y11">
        <f t="shared" si="21"/>
        <v>0.43897665641275546</v>
      </c>
      <c r="AA11">
        <f t="shared" ref="AA11:AG11" si="22">STDEV(AA5:AA7)/SQRT(3)</f>
        <v>0.3358039450509902</v>
      </c>
      <c r="AB11">
        <f t="shared" si="22"/>
        <v>0.19204389574760347</v>
      </c>
      <c r="AC11">
        <f t="shared" si="22"/>
        <v>0.30148361686481301</v>
      </c>
      <c r="AD11">
        <f t="shared" si="22"/>
        <v>0.72836443879014112</v>
      </c>
      <c r="AE11">
        <f t="shared" si="22"/>
        <v>1.2979186946646271</v>
      </c>
      <c r="AF11">
        <f t="shared" si="22"/>
        <v>0.43402777777777946</v>
      </c>
      <c r="AG11">
        <f t="shared" si="22"/>
        <v>0.69678834351230945</v>
      </c>
      <c r="AJ11">
        <f t="shared" ref="AJ11:AP11" si="23">STDEV(AJ5:AJ7)/SQRT(3)</f>
        <v>8.6103575654100123E-2</v>
      </c>
      <c r="AK11">
        <f t="shared" si="23"/>
        <v>0.10215100837638444</v>
      </c>
      <c r="AL11">
        <f t="shared" si="23"/>
        <v>0.19704811559791729</v>
      </c>
      <c r="AM11">
        <f t="shared" si="23"/>
        <v>0.70714994057295288</v>
      </c>
      <c r="AN11">
        <f t="shared" si="23"/>
        <v>1.8229195149784114</v>
      </c>
      <c r="AO11">
        <f t="shared" si="23"/>
        <v>1.1956688093051777</v>
      </c>
      <c r="AP11">
        <f t="shared" si="23"/>
        <v>2.3862614503846213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conv and rate</vt:lpstr>
      <vt:lpstr>size-area calculations</vt:lpstr>
      <vt:lpstr>error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Bennett</dc:creator>
  <cp:lastModifiedBy>Adam Lee</cp:lastModifiedBy>
  <dcterms:created xsi:type="dcterms:W3CDTF">2016-05-22T17:26:44Z</dcterms:created>
  <dcterms:modified xsi:type="dcterms:W3CDTF">2016-10-03T10:55:03Z</dcterms:modified>
</cp:coreProperties>
</file>