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nni\iCloudDrive\PhD\Amlodipine atorvastatin chapter\"/>
    </mc:Choice>
  </mc:AlternateContent>
  <bookViews>
    <workbookView xWindow="0" yWindow="0" windowWidth="25596" windowHeight="16056" tabRatio="720" activeTab="5"/>
  </bookViews>
  <sheets>
    <sheet name="Amlodipine DMEM" sheetId="8" r:id="rId1"/>
    <sheet name="Amlodipine" sheetId="11" r:id="rId2"/>
    <sheet name="Atorv" sheetId="14" r:id="rId3"/>
    <sheet name="Amlodipine and Atorv" sheetId="15" r:id="rId4"/>
    <sheet name="Amlodipine and Atorv Repeat" sheetId="20" r:id="rId5"/>
    <sheet name="Sheet1" sheetId="10" r:id="rId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4" i="20" l="1"/>
  <c r="G206" i="20"/>
  <c r="X220" i="20"/>
  <c r="Y220" i="20"/>
  <c r="Y221" i="20"/>
  <c r="G195" i="20"/>
  <c r="G207" i="20"/>
  <c r="X221" i="20"/>
  <c r="Y222" i="20"/>
  <c r="G196" i="20"/>
  <c r="G208" i="20"/>
  <c r="X222" i="20"/>
  <c r="Y223" i="20"/>
  <c r="G197" i="20"/>
  <c r="G209" i="20"/>
  <c r="X223" i="20"/>
  <c r="Y224" i="20"/>
  <c r="F194" i="20"/>
  <c r="F206" i="20"/>
  <c r="O220" i="20"/>
  <c r="P220" i="20"/>
  <c r="P221" i="20"/>
  <c r="F195" i="20"/>
  <c r="F207" i="20"/>
  <c r="O221" i="20"/>
  <c r="P222" i="20"/>
  <c r="F196" i="20"/>
  <c r="F208" i="20"/>
  <c r="O222" i="20"/>
  <c r="P223" i="20"/>
  <c r="F197" i="20"/>
  <c r="F209" i="20"/>
  <c r="O223" i="20"/>
  <c r="P224" i="20"/>
  <c r="G148" i="20"/>
  <c r="G155" i="20"/>
  <c r="V169" i="20"/>
  <c r="W169" i="20"/>
  <c r="W170" i="20"/>
  <c r="G149" i="20"/>
  <c r="G156" i="20"/>
  <c r="V170" i="20"/>
  <c r="W171" i="20"/>
  <c r="G150" i="20"/>
  <c r="G157" i="20"/>
  <c r="V171" i="20"/>
  <c r="W172" i="20"/>
  <c r="G151" i="20"/>
  <c r="G158" i="20"/>
  <c r="V172" i="20"/>
  <c r="W173" i="20"/>
  <c r="F148" i="20"/>
  <c r="F155" i="20"/>
  <c r="M169" i="20"/>
  <c r="N169" i="20"/>
  <c r="N170" i="20"/>
  <c r="F149" i="20"/>
  <c r="F156" i="20"/>
  <c r="M170" i="20"/>
  <c r="N171" i="20"/>
  <c r="F150" i="20"/>
  <c r="F157" i="20"/>
  <c r="M171" i="20"/>
  <c r="N172" i="20"/>
  <c r="F151" i="20"/>
  <c r="F158" i="20"/>
  <c r="M172" i="20"/>
  <c r="N173" i="20"/>
  <c r="G64" i="20"/>
  <c r="G75" i="20"/>
  <c r="X88" i="20"/>
  <c r="Y88" i="20"/>
  <c r="Y89" i="20"/>
  <c r="G65" i="20"/>
  <c r="G76" i="20"/>
  <c r="X89" i="20"/>
  <c r="Y90" i="20"/>
  <c r="G66" i="20"/>
  <c r="G77" i="20"/>
  <c r="X90" i="20"/>
  <c r="Y91" i="20"/>
  <c r="G67" i="20"/>
  <c r="G78" i="20"/>
  <c r="X91" i="20"/>
  <c r="Y92" i="20"/>
  <c r="F64" i="20"/>
  <c r="F75" i="20"/>
  <c r="O88" i="20"/>
  <c r="P88" i="20"/>
  <c r="P89" i="20"/>
  <c r="F65" i="20"/>
  <c r="F76" i="20"/>
  <c r="O89" i="20"/>
  <c r="P90" i="20"/>
  <c r="F66" i="20"/>
  <c r="F77" i="20"/>
  <c r="O90" i="20"/>
  <c r="P91" i="20"/>
  <c r="F67" i="20"/>
  <c r="F78" i="20"/>
  <c r="O91" i="20"/>
  <c r="P92" i="20"/>
  <c r="G19" i="20"/>
  <c r="G26" i="20"/>
  <c r="V39" i="20"/>
  <c r="W39" i="20"/>
  <c r="W40" i="20"/>
  <c r="G20" i="20"/>
  <c r="G27" i="20"/>
  <c r="V40" i="20"/>
  <c r="W41" i="20"/>
  <c r="G21" i="20"/>
  <c r="G28" i="20"/>
  <c r="V41" i="20"/>
  <c r="W42" i="20"/>
  <c r="G22" i="20"/>
  <c r="G29" i="20"/>
  <c r="V42" i="20"/>
  <c r="W43" i="20"/>
  <c r="F22" i="20"/>
  <c r="F29" i="20"/>
  <c r="M42" i="20"/>
  <c r="F21" i="20"/>
  <c r="F28" i="20"/>
  <c r="M41" i="20"/>
  <c r="F20" i="20"/>
  <c r="F27" i="20"/>
  <c r="M40" i="20"/>
  <c r="F19" i="20"/>
  <c r="F26" i="20"/>
  <c r="M39" i="20"/>
  <c r="N39" i="20"/>
  <c r="N40" i="20"/>
  <c r="N41" i="20"/>
  <c r="N42" i="20"/>
  <c r="N43" i="20"/>
  <c r="G66" i="14"/>
  <c r="G78" i="14"/>
  <c r="X92" i="14"/>
  <c r="Y92" i="14"/>
  <c r="Y93" i="14"/>
  <c r="G67" i="14"/>
  <c r="G79" i="14"/>
  <c r="X93" i="14"/>
  <c r="Y94" i="14"/>
  <c r="G68" i="14"/>
  <c r="G80" i="14"/>
  <c r="X94" i="14"/>
  <c r="Y95" i="14"/>
  <c r="G69" i="14"/>
  <c r="G81" i="14"/>
  <c r="X95" i="14"/>
  <c r="Y96" i="14"/>
  <c r="F66" i="14"/>
  <c r="F78" i="14"/>
  <c r="O92" i="14"/>
  <c r="P92" i="14"/>
  <c r="P93" i="14"/>
  <c r="F67" i="14"/>
  <c r="F79" i="14"/>
  <c r="O93" i="14"/>
  <c r="P94" i="14"/>
  <c r="F68" i="14"/>
  <c r="F80" i="14"/>
  <c r="O94" i="14"/>
  <c r="P95" i="14"/>
  <c r="F69" i="14"/>
  <c r="F81" i="14"/>
  <c r="O95" i="14"/>
  <c r="P96" i="14"/>
  <c r="G20" i="14"/>
  <c r="G27" i="14"/>
  <c r="V41" i="14"/>
  <c r="W41" i="14"/>
  <c r="W42" i="14"/>
  <c r="G21" i="14"/>
  <c r="G28" i="14"/>
  <c r="V42" i="14"/>
  <c r="W43" i="14"/>
  <c r="G22" i="14"/>
  <c r="G29" i="14"/>
  <c r="V43" i="14"/>
  <c r="W44" i="14"/>
  <c r="G23" i="14"/>
  <c r="G30" i="14"/>
  <c r="V44" i="14"/>
  <c r="W45" i="14"/>
  <c r="F20" i="14"/>
  <c r="F27" i="14"/>
  <c r="M41" i="14"/>
  <c r="N41" i="14"/>
  <c r="N42" i="14"/>
  <c r="F21" i="14"/>
  <c r="F28" i="14"/>
  <c r="M42" i="14"/>
  <c r="N43" i="14"/>
  <c r="F22" i="14"/>
  <c r="F29" i="14"/>
  <c r="M43" i="14"/>
  <c r="N44" i="14"/>
  <c r="F23" i="14"/>
  <c r="F30" i="14"/>
  <c r="M44" i="14"/>
  <c r="N45" i="14"/>
  <c r="G66" i="11"/>
  <c r="G78" i="11"/>
  <c r="X92" i="11"/>
  <c r="Y92" i="11"/>
  <c r="Y93" i="11"/>
  <c r="G67" i="11"/>
  <c r="G79" i="11"/>
  <c r="X93" i="11"/>
  <c r="Y94" i="11"/>
  <c r="G68" i="11"/>
  <c r="G80" i="11"/>
  <c r="X94" i="11"/>
  <c r="Y95" i="11"/>
  <c r="G69" i="11"/>
  <c r="G81" i="11"/>
  <c r="X95" i="11"/>
  <c r="Y96" i="11"/>
  <c r="F66" i="11"/>
  <c r="F78" i="11"/>
  <c r="O92" i="11"/>
  <c r="P92" i="11"/>
  <c r="P93" i="11"/>
  <c r="F67" i="11"/>
  <c r="F79" i="11"/>
  <c r="O93" i="11"/>
  <c r="P94" i="11"/>
  <c r="F68" i="11"/>
  <c r="F80" i="11"/>
  <c r="O94" i="11"/>
  <c r="P95" i="11"/>
  <c r="F69" i="11"/>
  <c r="F81" i="11"/>
  <c r="O95" i="11"/>
  <c r="P96" i="11"/>
  <c r="G20" i="11"/>
  <c r="G27" i="11"/>
  <c r="V41" i="11"/>
  <c r="W41" i="11"/>
  <c r="W42" i="11"/>
  <c r="G21" i="11"/>
  <c r="G28" i="11"/>
  <c r="V42" i="11"/>
  <c r="W43" i="11"/>
  <c r="G22" i="11"/>
  <c r="G29" i="11"/>
  <c r="V43" i="11"/>
  <c r="W44" i="11"/>
  <c r="G23" i="11"/>
  <c r="G30" i="11"/>
  <c r="V44" i="11"/>
  <c r="W45" i="11"/>
  <c r="F20" i="11"/>
  <c r="F27" i="11"/>
  <c r="M41" i="11"/>
  <c r="N41" i="11"/>
  <c r="N42" i="11"/>
  <c r="F21" i="11"/>
  <c r="F28" i="11"/>
  <c r="M42" i="11"/>
  <c r="N43" i="11"/>
  <c r="F22" i="11"/>
  <c r="F29" i="11"/>
  <c r="M43" i="11"/>
  <c r="N44" i="11"/>
  <c r="F23" i="11"/>
  <c r="F30" i="11"/>
  <c r="M44" i="11"/>
  <c r="N45" i="11"/>
  <c r="Q221" i="20"/>
  <c r="R221" i="20"/>
  <c r="Z221" i="20"/>
  <c r="AA221" i="20"/>
  <c r="E195" i="20"/>
  <c r="E207" i="20"/>
  <c r="F221" i="20"/>
  <c r="E194" i="20"/>
  <c r="E206" i="20"/>
  <c r="F220" i="20"/>
  <c r="G220" i="20"/>
  <c r="G221" i="20"/>
  <c r="H221" i="20"/>
  <c r="I221" i="20"/>
  <c r="X204" i="20"/>
  <c r="Z88" i="20"/>
  <c r="AA88" i="20"/>
  <c r="Z89" i="20"/>
  <c r="AA89" i="20"/>
  <c r="Z90" i="20"/>
  <c r="AA90" i="20"/>
  <c r="Z91" i="20"/>
  <c r="AA91" i="20"/>
  <c r="G68" i="20"/>
  <c r="G79" i="20"/>
  <c r="X92" i="20"/>
  <c r="Z92" i="20"/>
  <c r="AA92" i="20"/>
  <c r="V88" i="20"/>
  <c r="V89" i="20"/>
  <c r="V90" i="20"/>
  <c r="V92" i="20"/>
  <c r="Z93" i="20"/>
  <c r="Q88" i="20"/>
  <c r="R88" i="20"/>
  <c r="Q89" i="20"/>
  <c r="R89" i="20"/>
  <c r="Q90" i="20"/>
  <c r="R90" i="20"/>
  <c r="Q91" i="20"/>
  <c r="R91" i="20"/>
  <c r="F68" i="20"/>
  <c r="F79" i="20"/>
  <c r="O92" i="20"/>
  <c r="Q92" i="20"/>
  <c r="R92" i="20"/>
  <c r="M88" i="20"/>
  <c r="M89" i="20"/>
  <c r="M90" i="20"/>
  <c r="M92" i="20"/>
  <c r="Q93" i="20"/>
  <c r="Z92" i="14"/>
  <c r="AA92" i="14"/>
  <c r="Z93" i="14"/>
  <c r="AA93" i="14"/>
  <c r="Z94" i="14"/>
  <c r="AA94" i="14"/>
  <c r="Z95" i="14"/>
  <c r="AA95" i="14"/>
  <c r="G70" i="14"/>
  <c r="G82" i="14"/>
  <c r="X96" i="14"/>
  <c r="Z96" i="14"/>
  <c r="AA96" i="14"/>
  <c r="Q92" i="14"/>
  <c r="R92" i="14"/>
  <c r="Q93" i="14"/>
  <c r="R93" i="14"/>
  <c r="Q94" i="14"/>
  <c r="R94" i="14"/>
  <c r="Q95" i="14"/>
  <c r="R95" i="14"/>
  <c r="F70" i="14"/>
  <c r="F82" i="14"/>
  <c r="O96" i="14"/>
  <c r="Q96" i="14"/>
  <c r="R96" i="14"/>
  <c r="H109" i="20"/>
  <c r="K109" i="20"/>
  <c r="L109" i="20"/>
  <c r="Y63" i="20"/>
  <c r="Z63" i="20"/>
  <c r="O39" i="20"/>
  <c r="P39" i="20"/>
  <c r="O40" i="20"/>
  <c r="P40" i="20"/>
  <c r="O41" i="20"/>
  <c r="P41" i="20"/>
  <c r="O42" i="20"/>
  <c r="P42" i="20"/>
  <c r="F23" i="20"/>
  <c r="F30" i="20"/>
  <c r="M43" i="20"/>
  <c r="O43" i="20"/>
  <c r="P43" i="20"/>
  <c r="K39" i="20"/>
  <c r="K40" i="20"/>
  <c r="K41" i="20"/>
  <c r="K43" i="20"/>
  <c r="O44" i="20"/>
  <c r="H103" i="20"/>
  <c r="K103" i="20"/>
  <c r="L103" i="20"/>
  <c r="W14" i="20"/>
  <c r="X39" i="20"/>
  <c r="Y39" i="20"/>
  <c r="X40" i="20"/>
  <c r="Y40" i="20"/>
  <c r="X41" i="20"/>
  <c r="Y41" i="20"/>
  <c r="X42" i="20"/>
  <c r="Y42" i="20"/>
  <c r="G23" i="20"/>
  <c r="G30" i="20"/>
  <c r="V43" i="20"/>
  <c r="X43" i="20"/>
  <c r="Y43" i="20"/>
  <c r="T39" i="20"/>
  <c r="T40" i="20"/>
  <c r="T41" i="20"/>
  <c r="T43" i="20"/>
  <c r="X44" i="20"/>
  <c r="X14" i="20"/>
  <c r="X169" i="20"/>
  <c r="Y169" i="20"/>
  <c r="X170" i="20"/>
  <c r="Y170" i="20"/>
  <c r="X171" i="20"/>
  <c r="Y171" i="20"/>
  <c r="X172" i="20"/>
  <c r="Y172" i="20"/>
  <c r="G152" i="20"/>
  <c r="G159" i="20"/>
  <c r="V173" i="20"/>
  <c r="X173" i="20"/>
  <c r="Y173" i="20"/>
  <c r="T169" i="20"/>
  <c r="T170" i="20"/>
  <c r="T171" i="20"/>
  <c r="T173" i="20"/>
  <c r="X174" i="20"/>
  <c r="F198" i="20"/>
  <c r="F210" i="20"/>
  <c r="O224" i="20"/>
  <c r="Q224" i="20"/>
  <c r="R224" i="20"/>
  <c r="G198" i="20"/>
  <c r="G210" i="20"/>
  <c r="X224" i="20"/>
  <c r="Z224" i="20"/>
  <c r="AA224" i="20"/>
  <c r="E198" i="20"/>
  <c r="E210" i="20"/>
  <c r="F224" i="20"/>
  <c r="E197" i="20"/>
  <c r="E209" i="20"/>
  <c r="F223" i="20"/>
  <c r="E196" i="20"/>
  <c r="E208" i="20"/>
  <c r="F222" i="20"/>
  <c r="G222" i="20"/>
  <c r="G223" i="20"/>
  <c r="G224" i="20"/>
  <c r="H224" i="20"/>
  <c r="I224" i="20"/>
  <c r="Y207" i="20"/>
  <c r="X207" i="20"/>
  <c r="Q223" i="20"/>
  <c r="R223" i="20"/>
  <c r="Z223" i="20"/>
  <c r="AA223" i="20"/>
  <c r="H223" i="20"/>
  <c r="I223" i="20"/>
  <c r="Y206" i="20"/>
  <c r="X206" i="20"/>
  <c r="Q222" i="20"/>
  <c r="R222" i="20"/>
  <c r="Z222" i="20"/>
  <c r="AA222" i="20"/>
  <c r="H222" i="20"/>
  <c r="I222" i="20"/>
  <c r="Y205" i="20"/>
  <c r="X205" i="20"/>
  <c r="Y204" i="20"/>
  <c r="Q220" i="20"/>
  <c r="R220" i="20"/>
  <c r="Z220" i="20"/>
  <c r="AA220" i="20"/>
  <c r="H220" i="20"/>
  <c r="I220" i="20"/>
  <c r="Y203" i="20"/>
  <c r="X203" i="20"/>
  <c r="H219" i="20"/>
  <c r="I219" i="20"/>
  <c r="Q219" i="20"/>
  <c r="R219" i="20"/>
  <c r="Z219" i="20"/>
  <c r="AA219" i="20"/>
  <c r="Y202" i="20"/>
  <c r="X202" i="20"/>
  <c r="AB224" i="20"/>
  <c r="V224" i="20"/>
  <c r="AB223" i="20"/>
  <c r="AB222" i="20"/>
  <c r="V222" i="20"/>
  <c r="AB221" i="20"/>
  <c r="V221" i="20"/>
  <c r="AB220" i="20"/>
  <c r="V220" i="20"/>
  <c r="AB219" i="20"/>
  <c r="S224" i="20"/>
  <c r="M224" i="20"/>
  <c r="S223" i="20"/>
  <c r="S222" i="20"/>
  <c r="M222" i="20"/>
  <c r="S221" i="20"/>
  <c r="M221" i="20"/>
  <c r="S220" i="20"/>
  <c r="M220" i="20"/>
  <c r="S219" i="20"/>
  <c r="H235" i="20"/>
  <c r="K235" i="20"/>
  <c r="L235" i="20"/>
  <c r="X144" i="20"/>
  <c r="F152" i="20"/>
  <c r="F159" i="20"/>
  <c r="M173" i="20"/>
  <c r="O173" i="20"/>
  <c r="P173" i="20"/>
  <c r="E152" i="20"/>
  <c r="E159" i="20"/>
  <c r="D173" i="20"/>
  <c r="E150" i="20"/>
  <c r="E157" i="20"/>
  <c r="D171" i="20"/>
  <c r="E149" i="20"/>
  <c r="E156" i="20"/>
  <c r="D170" i="20"/>
  <c r="E148" i="20"/>
  <c r="E155" i="20"/>
  <c r="D169" i="20"/>
  <c r="E169" i="20"/>
  <c r="E170" i="20"/>
  <c r="E171" i="20"/>
  <c r="E173" i="20"/>
  <c r="F173" i="20"/>
  <c r="G173" i="20"/>
  <c r="W156" i="20"/>
  <c r="V156" i="20"/>
  <c r="O172" i="20"/>
  <c r="P172" i="20"/>
  <c r="E151" i="20"/>
  <c r="E158" i="20"/>
  <c r="D172" i="20"/>
  <c r="E172" i="20"/>
  <c r="F172" i="20"/>
  <c r="G172" i="20"/>
  <c r="W155" i="20"/>
  <c r="V155" i="20"/>
  <c r="O171" i="20"/>
  <c r="P171" i="20"/>
  <c r="F171" i="20"/>
  <c r="G171" i="20"/>
  <c r="W154" i="20"/>
  <c r="V154" i="20"/>
  <c r="O170" i="20"/>
  <c r="P170" i="20"/>
  <c r="F170" i="20"/>
  <c r="G170" i="20"/>
  <c r="W153" i="20"/>
  <c r="V153" i="20"/>
  <c r="O169" i="20"/>
  <c r="P169" i="20"/>
  <c r="F169" i="20"/>
  <c r="G169" i="20"/>
  <c r="W152" i="20"/>
  <c r="V152" i="20"/>
  <c r="F168" i="20"/>
  <c r="G168" i="20"/>
  <c r="O168" i="20"/>
  <c r="P168" i="20"/>
  <c r="X168" i="20"/>
  <c r="Y168" i="20"/>
  <c r="W151" i="20"/>
  <c r="V151" i="20"/>
  <c r="Z173" i="20"/>
  <c r="Z172" i="20"/>
  <c r="Z171" i="20"/>
  <c r="Z170" i="20"/>
  <c r="Z169" i="20"/>
  <c r="Q173" i="20"/>
  <c r="K173" i="20"/>
  <c r="Q172" i="20"/>
  <c r="Q171" i="20"/>
  <c r="K171" i="20"/>
  <c r="Q170" i="20"/>
  <c r="K170" i="20"/>
  <c r="Q169" i="20"/>
  <c r="K169" i="20"/>
  <c r="E68" i="20"/>
  <c r="E79" i="20"/>
  <c r="F92" i="20"/>
  <c r="E67" i="20"/>
  <c r="E78" i="20"/>
  <c r="F91" i="20"/>
  <c r="E66" i="20"/>
  <c r="E77" i="20"/>
  <c r="F90" i="20"/>
  <c r="E65" i="20"/>
  <c r="E76" i="20"/>
  <c r="F89" i="20"/>
  <c r="E64" i="20"/>
  <c r="E75" i="20"/>
  <c r="F88" i="20"/>
  <c r="G88" i="20"/>
  <c r="G89" i="20"/>
  <c r="G90" i="20"/>
  <c r="G91" i="20"/>
  <c r="G92" i="20"/>
  <c r="H92" i="20"/>
  <c r="I92" i="20"/>
  <c r="Y75" i="20"/>
  <c r="X75" i="20"/>
  <c r="H91" i="20"/>
  <c r="I91" i="20"/>
  <c r="Y74" i="20"/>
  <c r="X74" i="20"/>
  <c r="H90" i="20"/>
  <c r="I90" i="20"/>
  <c r="Y73" i="20"/>
  <c r="X73" i="20"/>
  <c r="H89" i="20"/>
  <c r="I89" i="20"/>
  <c r="Y72" i="20"/>
  <c r="X72" i="20"/>
  <c r="H88" i="20"/>
  <c r="I88" i="20"/>
  <c r="Y71" i="20"/>
  <c r="X71" i="20"/>
  <c r="H87" i="20"/>
  <c r="I87" i="20"/>
  <c r="Q87" i="20"/>
  <c r="R87" i="20"/>
  <c r="Z87" i="20"/>
  <c r="AA87" i="20"/>
  <c r="Y70" i="20"/>
  <c r="X70" i="20"/>
  <c r="AB92" i="20"/>
  <c r="AB91" i="20"/>
  <c r="AB90" i="20"/>
  <c r="AB89" i="20"/>
  <c r="AB88" i="20"/>
  <c r="AB87" i="20"/>
  <c r="S92" i="20"/>
  <c r="S91" i="20"/>
  <c r="S90" i="20"/>
  <c r="S89" i="20"/>
  <c r="S88" i="20"/>
  <c r="S87" i="20"/>
  <c r="E23" i="20"/>
  <c r="E30" i="20"/>
  <c r="D43" i="20"/>
  <c r="E22" i="20"/>
  <c r="E29" i="20"/>
  <c r="D42" i="20"/>
  <c r="E21" i="20"/>
  <c r="E28" i="20"/>
  <c r="D41" i="20"/>
  <c r="E20" i="20"/>
  <c r="E27" i="20"/>
  <c r="D40" i="20"/>
  <c r="E19" i="20"/>
  <c r="E26" i="20"/>
  <c r="D39" i="20"/>
  <c r="E39" i="20"/>
  <c r="E40" i="20"/>
  <c r="E41" i="20"/>
  <c r="E42" i="20"/>
  <c r="E43" i="20"/>
  <c r="F43" i="20"/>
  <c r="G43" i="20"/>
  <c r="W26" i="20"/>
  <c r="V26" i="20"/>
  <c r="F42" i="20"/>
  <c r="G42" i="20"/>
  <c r="W25" i="20"/>
  <c r="V25" i="20"/>
  <c r="F41" i="20"/>
  <c r="G41" i="20"/>
  <c r="W24" i="20"/>
  <c r="V24" i="20"/>
  <c r="F40" i="20"/>
  <c r="G40" i="20"/>
  <c r="W23" i="20"/>
  <c r="V23" i="20"/>
  <c r="F39" i="20"/>
  <c r="G39" i="20"/>
  <c r="W22" i="20"/>
  <c r="V22" i="20"/>
  <c r="F38" i="20"/>
  <c r="G38" i="20"/>
  <c r="O38" i="20"/>
  <c r="P38" i="20"/>
  <c r="X38" i="20"/>
  <c r="Y38" i="20"/>
  <c r="W21" i="20"/>
  <c r="V21" i="20"/>
  <c r="Z43" i="20"/>
  <c r="Z42" i="20"/>
  <c r="Z41" i="20"/>
  <c r="Z40" i="20"/>
  <c r="Z39" i="20"/>
  <c r="Q43" i="20"/>
  <c r="Q42" i="20"/>
  <c r="Q41" i="20"/>
  <c r="Q40" i="20"/>
  <c r="Q39" i="20"/>
  <c r="E70" i="14"/>
  <c r="E82" i="14"/>
  <c r="F96" i="14"/>
  <c r="E69" i="14"/>
  <c r="E81" i="14"/>
  <c r="F95" i="14"/>
  <c r="E68" i="14"/>
  <c r="E80" i="14"/>
  <c r="F94" i="14"/>
  <c r="E67" i="14"/>
  <c r="E79" i="14"/>
  <c r="F93" i="14"/>
  <c r="E66" i="14"/>
  <c r="E78" i="14"/>
  <c r="F92" i="14"/>
  <c r="G92" i="14"/>
  <c r="G93" i="14"/>
  <c r="G94" i="14"/>
  <c r="G95" i="14"/>
  <c r="G96" i="14"/>
  <c r="H96" i="14"/>
  <c r="I96" i="14"/>
  <c r="W83" i="14"/>
  <c r="V83" i="14"/>
  <c r="H95" i="14"/>
  <c r="I95" i="14"/>
  <c r="W82" i="14"/>
  <c r="V82" i="14"/>
  <c r="H94" i="14"/>
  <c r="I94" i="14"/>
  <c r="W81" i="14"/>
  <c r="V81" i="14"/>
  <c r="H93" i="14"/>
  <c r="I93" i="14"/>
  <c r="W80" i="14"/>
  <c r="V80" i="14"/>
  <c r="H92" i="14"/>
  <c r="I92" i="14"/>
  <c r="W79" i="14"/>
  <c r="V79" i="14"/>
  <c r="H91" i="14"/>
  <c r="I91" i="14"/>
  <c r="Q91" i="14"/>
  <c r="R91" i="14"/>
  <c r="Z91" i="14"/>
  <c r="AA91" i="14"/>
  <c r="W78" i="14"/>
  <c r="V78" i="14"/>
  <c r="AB96" i="14"/>
  <c r="V96" i="14"/>
  <c r="AB95" i="14"/>
  <c r="V95" i="14"/>
  <c r="AB94" i="14"/>
  <c r="V94" i="14"/>
  <c r="AB93" i="14"/>
  <c r="V93" i="14"/>
  <c r="AB92" i="14"/>
  <c r="V92" i="14"/>
  <c r="AB91" i="14"/>
  <c r="S96" i="14"/>
  <c r="M96" i="14"/>
  <c r="S95" i="14"/>
  <c r="M95" i="14"/>
  <c r="S94" i="14"/>
  <c r="M94" i="14"/>
  <c r="S93" i="14"/>
  <c r="M93" i="14"/>
  <c r="S92" i="14"/>
  <c r="M92" i="14"/>
  <c r="S91" i="14"/>
  <c r="F40" i="11"/>
  <c r="G40" i="11"/>
  <c r="O40" i="11"/>
  <c r="P40" i="11"/>
  <c r="X40" i="11"/>
  <c r="Y40" i="11"/>
  <c r="V23" i="11"/>
  <c r="W23" i="11"/>
  <c r="O41" i="11"/>
  <c r="P41" i="11"/>
  <c r="X41" i="11"/>
  <c r="Y41" i="11"/>
  <c r="E20" i="11"/>
  <c r="E27" i="11"/>
  <c r="D41" i="11"/>
  <c r="E41" i="11"/>
  <c r="F41" i="11"/>
  <c r="G41" i="11"/>
  <c r="V24" i="11"/>
  <c r="W24" i="11"/>
  <c r="O42" i="11"/>
  <c r="P42" i="11"/>
  <c r="X42" i="11"/>
  <c r="Y42" i="11"/>
  <c r="E21" i="11"/>
  <c r="E28" i="11"/>
  <c r="D42" i="11"/>
  <c r="E42" i="11"/>
  <c r="F42" i="11"/>
  <c r="G42" i="11"/>
  <c r="V25" i="11"/>
  <c r="W25" i="11"/>
  <c r="O43" i="11"/>
  <c r="P43" i="11"/>
  <c r="X43" i="11"/>
  <c r="Y43" i="11"/>
  <c r="E22" i="11"/>
  <c r="E29" i="11"/>
  <c r="D43" i="11"/>
  <c r="E43" i="11"/>
  <c r="F43" i="11"/>
  <c r="G43" i="11"/>
  <c r="V26" i="11"/>
  <c r="W26" i="11"/>
  <c r="O44" i="11"/>
  <c r="P44" i="11"/>
  <c r="X44" i="11"/>
  <c r="Y44" i="11"/>
  <c r="E23" i="11"/>
  <c r="E30" i="11"/>
  <c r="D44" i="11"/>
  <c r="E44" i="11"/>
  <c r="F44" i="11"/>
  <c r="G44" i="11"/>
  <c r="V27" i="11"/>
  <c r="W27" i="11"/>
  <c r="F24" i="11"/>
  <c r="F31" i="11"/>
  <c r="M45" i="11"/>
  <c r="O45" i="11"/>
  <c r="P45" i="11"/>
  <c r="G24" i="11"/>
  <c r="G31" i="11"/>
  <c r="V45" i="11"/>
  <c r="X45" i="11"/>
  <c r="Y45" i="11"/>
  <c r="E24" i="11"/>
  <c r="E31" i="11"/>
  <c r="D45" i="11"/>
  <c r="E45" i="11"/>
  <c r="F45" i="11"/>
  <c r="G45" i="11"/>
  <c r="V28" i="11"/>
  <c r="W28" i="11"/>
  <c r="B41" i="11"/>
  <c r="K41" i="11"/>
  <c r="T41" i="11"/>
  <c r="H41" i="11"/>
  <c r="Q41" i="11"/>
  <c r="Z41" i="11"/>
  <c r="B42" i="11"/>
  <c r="K42" i="11"/>
  <c r="T42" i="11"/>
  <c r="H42" i="11"/>
  <c r="Q42" i="11"/>
  <c r="Z42" i="11"/>
  <c r="B43" i="11"/>
  <c r="K43" i="11"/>
  <c r="T43" i="11"/>
  <c r="H43" i="11"/>
  <c r="Q43" i="11"/>
  <c r="Z43" i="11"/>
  <c r="B44" i="11"/>
  <c r="K44" i="11"/>
  <c r="T44" i="11"/>
  <c r="H44" i="11"/>
  <c r="Q44" i="11"/>
  <c r="Z44" i="11"/>
  <c r="B45" i="11"/>
  <c r="K45" i="11"/>
  <c r="T45" i="11"/>
  <c r="H45" i="11"/>
  <c r="Q45" i="11"/>
  <c r="Z45" i="11"/>
  <c r="F24" i="14"/>
  <c r="F31" i="14"/>
  <c r="M45" i="14"/>
  <c r="O45" i="14"/>
  <c r="P45" i="14"/>
  <c r="G24" i="14"/>
  <c r="G31" i="14"/>
  <c r="V45" i="14"/>
  <c r="X45" i="14"/>
  <c r="Y45" i="14"/>
  <c r="E24" i="14"/>
  <c r="E31" i="14"/>
  <c r="D45" i="14"/>
  <c r="E23" i="14"/>
  <c r="E30" i="14"/>
  <c r="D44" i="14"/>
  <c r="E22" i="14"/>
  <c r="E29" i="14"/>
  <c r="D43" i="14"/>
  <c r="E21" i="14"/>
  <c r="E28" i="14"/>
  <c r="D42" i="14"/>
  <c r="E20" i="14"/>
  <c r="E27" i="14"/>
  <c r="D41" i="14"/>
  <c r="E41" i="14"/>
  <c r="E42" i="14"/>
  <c r="E43" i="14"/>
  <c r="E44" i="14"/>
  <c r="E45" i="14"/>
  <c r="F45" i="14"/>
  <c r="G45" i="14"/>
  <c r="W28" i="14"/>
  <c r="V28" i="14"/>
  <c r="O44" i="14"/>
  <c r="P44" i="14"/>
  <c r="X44" i="14"/>
  <c r="Y44" i="14"/>
  <c r="F44" i="14"/>
  <c r="G44" i="14"/>
  <c r="W27" i="14"/>
  <c r="V27" i="14"/>
  <c r="O43" i="14"/>
  <c r="P43" i="14"/>
  <c r="X43" i="14"/>
  <c r="Y43" i="14"/>
  <c r="F43" i="14"/>
  <c r="G43" i="14"/>
  <c r="W26" i="14"/>
  <c r="V26" i="14"/>
  <c r="O42" i="14"/>
  <c r="P42" i="14"/>
  <c r="X42" i="14"/>
  <c r="Y42" i="14"/>
  <c r="F42" i="14"/>
  <c r="G42" i="14"/>
  <c r="W25" i="14"/>
  <c r="V25" i="14"/>
  <c r="O41" i="14"/>
  <c r="P41" i="14"/>
  <c r="X41" i="14"/>
  <c r="Y41" i="14"/>
  <c r="F41" i="14"/>
  <c r="G41" i="14"/>
  <c r="W24" i="14"/>
  <c r="V24" i="14"/>
  <c r="F40" i="14"/>
  <c r="G40" i="14"/>
  <c r="O40" i="14"/>
  <c r="P40" i="14"/>
  <c r="X40" i="14"/>
  <c r="Y40" i="14"/>
  <c r="W23" i="14"/>
  <c r="V23" i="14"/>
  <c r="Z45" i="14"/>
  <c r="T45" i="14"/>
  <c r="Z44" i="14"/>
  <c r="T44" i="14"/>
  <c r="Z43" i="14"/>
  <c r="T43" i="14"/>
  <c r="Z42" i="14"/>
  <c r="T42" i="14"/>
  <c r="Z41" i="14"/>
  <c r="T41" i="14"/>
  <c r="Q45" i="14"/>
  <c r="K45" i="14"/>
  <c r="Q44" i="14"/>
  <c r="K44" i="14"/>
  <c r="Q43" i="14"/>
  <c r="K43" i="14"/>
  <c r="Q42" i="14"/>
  <c r="K42" i="14"/>
  <c r="Q41" i="14"/>
  <c r="K41" i="14"/>
  <c r="E66" i="11"/>
  <c r="E78" i="11"/>
  <c r="F92" i="11"/>
  <c r="G92" i="11"/>
  <c r="H92" i="11"/>
  <c r="I92" i="11"/>
  <c r="Q92" i="11"/>
  <c r="R92" i="11"/>
  <c r="Z92" i="11"/>
  <c r="AA92" i="11"/>
  <c r="W79" i="11"/>
  <c r="E67" i="11"/>
  <c r="E79" i="11"/>
  <c r="F93" i="11"/>
  <c r="G93" i="11"/>
  <c r="H93" i="11"/>
  <c r="I93" i="11"/>
  <c r="Q93" i="11"/>
  <c r="R93" i="11"/>
  <c r="Z93" i="11"/>
  <c r="AA93" i="11"/>
  <c r="W80" i="11"/>
  <c r="E68" i="11"/>
  <c r="E80" i="11"/>
  <c r="F94" i="11"/>
  <c r="G94" i="11"/>
  <c r="H94" i="11"/>
  <c r="I94" i="11"/>
  <c r="Q94" i="11"/>
  <c r="R94" i="11"/>
  <c r="Z94" i="11"/>
  <c r="AA94" i="11"/>
  <c r="W81" i="11"/>
  <c r="E69" i="11"/>
  <c r="E81" i="11"/>
  <c r="F95" i="11"/>
  <c r="G95" i="11"/>
  <c r="H95" i="11"/>
  <c r="I95" i="11"/>
  <c r="Q95" i="11"/>
  <c r="R95" i="11"/>
  <c r="Z95" i="11"/>
  <c r="AA95" i="11"/>
  <c r="W82" i="11"/>
  <c r="E70" i="11"/>
  <c r="E82" i="11"/>
  <c r="F96" i="11"/>
  <c r="G96" i="11"/>
  <c r="H96" i="11"/>
  <c r="I96" i="11"/>
  <c r="F70" i="11"/>
  <c r="F82" i="11"/>
  <c r="O96" i="11"/>
  <c r="Q96" i="11"/>
  <c r="R96" i="11"/>
  <c r="G70" i="11"/>
  <c r="G82" i="11"/>
  <c r="X96" i="11"/>
  <c r="Z96" i="11"/>
  <c r="AA96" i="11"/>
  <c r="W83" i="11"/>
  <c r="H91" i="11"/>
  <c r="I91" i="11"/>
  <c r="Q91" i="11"/>
  <c r="R91" i="11"/>
  <c r="Z91" i="11"/>
  <c r="AA91" i="11"/>
  <c r="W78" i="11"/>
  <c r="V79" i="11"/>
  <c r="V80" i="11"/>
  <c r="V81" i="11"/>
  <c r="V82" i="11"/>
  <c r="V83" i="11"/>
  <c r="V78" i="11"/>
  <c r="AB96" i="11"/>
  <c r="V96" i="11"/>
  <c r="AB95" i="11"/>
  <c r="V95" i="11"/>
  <c r="AB94" i="11"/>
  <c r="V94" i="11"/>
  <c r="AB93" i="11"/>
  <c r="V93" i="11"/>
  <c r="AB92" i="11"/>
  <c r="V92" i="11"/>
  <c r="AB91" i="11"/>
  <c r="S96" i="11"/>
  <c r="M96" i="11"/>
  <c r="S95" i="11"/>
  <c r="M95" i="11"/>
  <c r="S94" i="11"/>
  <c r="M94" i="11"/>
  <c r="S93" i="11"/>
  <c r="M93" i="11"/>
  <c r="S92" i="11"/>
  <c r="M92" i="11"/>
  <c r="S91" i="11"/>
  <c r="H107" i="11"/>
  <c r="K107" i="11"/>
  <c r="L107" i="11"/>
  <c r="H158" i="20"/>
  <c r="H155" i="20"/>
  <c r="H156" i="20"/>
  <c r="H157" i="20"/>
  <c r="H172" i="20"/>
  <c r="H195" i="20"/>
  <c r="I195" i="20"/>
  <c r="J195" i="20"/>
  <c r="K195" i="20"/>
  <c r="H196" i="20"/>
  <c r="I196" i="20"/>
  <c r="J196" i="20"/>
  <c r="K196" i="20"/>
  <c r="H197" i="20"/>
  <c r="I197" i="20"/>
  <c r="J197" i="20"/>
  <c r="K197" i="20"/>
  <c r="H198" i="20"/>
  <c r="I198" i="20"/>
  <c r="J198" i="20"/>
  <c r="K198" i="20"/>
  <c r="H209" i="20"/>
  <c r="H206" i="20"/>
  <c r="H207" i="20"/>
  <c r="H208" i="20"/>
  <c r="J223" i="20"/>
  <c r="H210" i="20"/>
  <c r="J224" i="20"/>
  <c r="I209" i="20"/>
  <c r="I210" i="20"/>
  <c r="H191" i="20"/>
  <c r="I191" i="20"/>
  <c r="J191" i="20"/>
  <c r="K191" i="20"/>
  <c r="H192" i="20"/>
  <c r="I192" i="20"/>
  <c r="J192" i="20"/>
  <c r="K192" i="20"/>
  <c r="H29" i="20"/>
  <c r="H28" i="20"/>
  <c r="H27" i="20"/>
  <c r="H26" i="20"/>
  <c r="H42" i="20"/>
  <c r="H30" i="20"/>
  <c r="H43" i="20"/>
  <c r="I158" i="20"/>
  <c r="H151" i="20"/>
  <c r="I151" i="20"/>
  <c r="H152" i="20"/>
  <c r="I152" i="20"/>
  <c r="H139" i="20"/>
  <c r="I139" i="20"/>
  <c r="J139" i="20"/>
  <c r="K139" i="20"/>
  <c r="H140" i="20"/>
  <c r="I140" i="20"/>
  <c r="J140" i="20"/>
  <c r="K140" i="20"/>
  <c r="H78" i="20"/>
  <c r="H77" i="20"/>
  <c r="H76" i="20"/>
  <c r="H75" i="20"/>
  <c r="J91" i="20"/>
  <c r="H79" i="20"/>
  <c r="J92" i="20"/>
  <c r="C79" i="20"/>
  <c r="I79" i="20"/>
  <c r="H68" i="20"/>
  <c r="I68" i="20"/>
  <c r="J68" i="20"/>
  <c r="K68" i="20"/>
  <c r="H62" i="20"/>
  <c r="I62" i="20"/>
  <c r="J62" i="20"/>
  <c r="K62" i="20"/>
  <c r="C23" i="20"/>
  <c r="C30" i="20"/>
  <c r="I30" i="20"/>
  <c r="H23" i="20"/>
  <c r="I23" i="20"/>
  <c r="H12" i="20"/>
  <c r="I12" i="20"/>
  <c r="J12" i="20"/>
  <c r="K12" i="20"/>
  <c r="E247" i="20"/>
  <c r="E248" i="20"/>
  <c r="F247" i="20"/>
  <c r="F248" i="20"/>
  <c r="G247" i="20"/>
  <c r="G248" i="20"/>
  <c r="H248" i="20"/>
  <c r="H247" i="20"/>
  <c r="H246" i="20"/>
  <c r="H242" i="20"/>
  <c r="K242" i="20"/>
  <c r="L242" i="20"/>
  <c r="I242" i="20"/>
  <c r="H241" i="20"/>
  <c r="K241" i="20"/>
  <c r="L241" i="20"/>
  <c r="I241" i="20"/>
  <c r="H236" i="20"/>
  <c r="K236" i="20"/>
  <c r="L236" i="20"/>
  <c r="I236" i="20"/>
  <c r="I235" i="20"/>
  <c r="D224" i="20"/>
  <c r="J222" i="20"/>
  <c r="D222" i="20"/>
  <c r="J221" i="20"/>
  <c r="D221" i="20"/>
  <c r="J220" i="20"/>
  <c r="D220" i="20"/>
  <c r="J219" i="20"/>
  <c r="C210" i="20"/>
  <c r="I208" i="20"/>
  <c r="C208" i="20"/>
  <c r="I207" i="20"/>
  <c r="C207" i="20"/>
  <c r="I206" i="20"/>
  <c r="C206" i="20"/>
  <c r="C205" i="20"/>
  <c r="I199" i="20"/>
  <c r="H199" i="20"/>
  <c r="J199" i="20"/>
  <c r="K199" i="20"/>
  <c r="I194" i="20"/>
  <c r="H194" i="20"/>
  <c r="J194" i="20"/>
  <c r="K194" i="20"/>
  <c r="I190" i="20"/>
  <c r="H190" i="20"/>
  <c r="J190" i="20"/>
  <c r="K190" i="20"/>
  <c r="I189" i="20"/>
  <c r="H189" i="20"/>
  <c r="J189" i="20"/>
  <c r="K189" i="20"/>
  <c r="I188" i="20"/>
  <c r="H188" i="20"/>
  <c r="J188" i="20"/>
  <c r="K188" i="20"/>
  <c r="H159" i="20"/>
  <c r="H173" i="20"/>
  <c r="B173" i="20"/>
  <c r="H171" i="20"/>
  <c r="B171" i="20"/>
  <c r="H170" i="20"/>
  <c r="B170" i="20"/>
  <c r="H169" i="20"/>
  <c r="B169" i="20"/>
  <c r="I159" i="20"/>
  <c r="C152" i="20"/>
  <c r="C159" i="20"/>
  <c r="I157" i="20"/>
  <c r="C150" i="20"/>
  <c r="C157" i="20"/>
  <c r="I156" i="20"/>
  <c r="C149" i="20"/>
  <c r="C156" i="20"/>
  <c r="I155" i="20"/>
  <c r="C148" i="20"/>
  <c r="C155" i="20"/>
  <c r="I154" i="20"/>
  <c r="H154" i="20"/>
  <c r="C147" i="20"/>
  <c r="C154" i="20"/>
  <c r="I150" i="20"/>
  <c r="H150" i="20"/>
  <c r="I149" i="20"/>
  <c r="H149" i="20"/>
  <c r="I148" i="20"/>
  <c r="H148" i="20"/>
  <c r="I138" i="20"/>
  <c r="H138" i="20"/>
  <c r="J138" i="20"/>
  <c r="K138" i="20"/>
  <c r="I137" i="20"/>
  <c r="H137" i="20"/>
  <c r="J137" i="20"/>
  <c r="K137" i="20"/>
  <c r="I136" i="20"/>
  <c r="H136" i="20"/>
  <c r="J136" i="20"/>
  <c r="K136" i="20"/>
  <c r="E115" i="20"/>
  <c r="E116" i="20"/>
  <c r="F115" i="20"/>
  <c r="F116" i="20"/>
  <c r="G115" i="20"/>
  <c r="G116" i="20"/>
  <c r="H116" i="20"/>
  <c r="H115" i="20"/>
  <c r="H114" i="20"/>
  <c r="H110" i="20"/>
  <c r="K110" i="20"/>
  <c r="L110" i="20"/>
  <c r="I110" i="20"/>
  <c r="I109" i="20"/>
  <c r="H104" i="20"/>
  <c r="K104" i="20"/>
  <c r="L104" i="20"/>
  <c r="I104" i="20"/>
  <c r="I103" i="20"/>
  <c r="D92" i="20"/>
  <c r="J90" i="20"/>
  <c r="D90" i="20"/>
  <c r="J89" i="20"/>
  <c r="D89" i="20"/>
  <c r="J88" i="20"/>
  <c r="D88" i="20"/>
  <c r="J87" i="20"/>
  <c r="I78" i="20"/>
  <c r="C78" i="20"/>
  <c r="I77" i="20"/>
  <c r="C77" i="20"/>
  <c r="I76" i="20"/>
  <c r="C76" i="20"/>
  <c r="I75" i="20"/>
  <c r="C75" i="20"/>
  <c r="C74" i="20"/>
  <c r="I67" i="20"/>
  <c r="H67" i="20"/>
  <c r="J67" i="20"/>
  <c r="K67" i="20"/>
  <c r="I66" i="20"/>
  <c r="H66" i="20"/>
  <c r="J66" i="20"/>
  <c r="K66" i="20"/>
  <c r="I65" i="20"/>
  <c r="H65" i="20"/>
  <c r="J65" i="20"/>
  <c r="K65" i="20"/>
  <c r="I64" i="20"/>
  <c r="H64" i="20"/>
  <c r="J64" i="20"/>
  <c r="K64" i="20"/>
  <c r="I61" i="20"/>
  <c r="H61" i="20"/>
  <c r="J61" i="20"/>
  <c r="K61" i="20"/>
  <c r="I60" i="20"/>
  <c r="H60" i="20"/>
  <c r="J60" i="20"/>
  <c r="K60" i="20"/>
  <c r="I59" i="20"/>
  <c r="H59" i="20"/>
  <c r="J59" i="20"/>
  <c r="K59" i="20"/>
  <c r="I58" i="20"/>
  <c r="H58" i="20"/>
  <c r="J58" i="20"/>
  <c r="K58" i="20"/>
  <c r="B43" i="20"/>
  <c r="H41" i="20"/>
  <c r="B41" i="20"/>
  <c r="H40" i="20"/>
  <c r="B40" i="20"/>
  <c r="H39" i="20"/>
  <c r="B39" i="20"/>
  <c r="I29" i="20"/>
  <c r="C22" i="20"/>
  <c r="C29" i="20"/>
  <c r="I28" i="20"/>
  <c r="C21" i="20"/>
  <c r="C28" i="20"/>
  <c r="I27" i="20"/>
  <c r="C20" i="20"/>
  <c r="C27" i="20"/>
  <c r="I26" i="20"/>
  <c r="C19" i="20"/>
  <c r="C26" i="20"/>
  <c r="I25" i="20"/>
  <c r="H25" i="20"/>
  <c r="C18" i="20"/>
  <c r="C25" i="20"/>
  <c r="I22" i="20"/>
  <c r="H22" i="20"/>
  <c r="I21" i="20"/>
  <c r="H21" i="20"/>
  <c r="I20" i="20"/>
  <c r="H20" i="20"/>
  <c r="I19" i="20"/>
  <c r="H19" i="20"/>
  <c r="I11" i="20"/>
  <c r="H11" i="20"/>
  <c r="J11" i="20"/>
  <c r="K11" i="20"/>
  <c r="I10" i="20"/>
  <c r="H10" i="20"/>
  <c r="J10" i="20"/>
  <c r="K10" i="20"/>
  <c r="I9" i="20"/>
  <c r="H9" i="20"/>
  <c r="J9" i="20"/>
  <c r="K9" i="20"/>
  <c r="I8" i="20"/>
  <c r="H8" i="20"/>
  <c r="J8" i="20"/>
  <c r="K8" i="20"/>
  <c r="E185" i="15"/>
  <c r="E196" i="15"/>
  <c r="F185" i="15"/>
  <c r="F196" i="15"/>
  <c r="G185" i="15"/>
  <c r="G196" i="15"/>
  <c r="H196" i="15"/>
  <c r="F209" i="15"/>
  <c r="G209" i="15"/>
  <c r="H209" i="15"/>
  <c r="E186" i="15"/>
  <c r="E197" i="15"/>
  <c r="F186" i="15"/>
  <c r="F197" i="15"/>
  <c r="G186" i="15"/>
  <c r="G197" i="15"/>
  <c r="H197" i="15"/>
  <c r="F210" i="15"/>
  <c r="G210" i="15"/>
  <c r="H210" i="15"/>
  <c r="E187" i="15"/>
  <c r="E198" i="15"/>
  <c r="F187" i="15"/>
  <c r="F198" i="15"/>
  <c r="G187" i="15"/>
  <c r="G198" i="15"/>
  <c r="H198" i="15"/>
  <c r="F211" i="15"/>
  <c r="G211" i="15"/>
  <c r="H211" i="15"/>
  <c r="E188" i="15"/>
  <c r="E199" i="15"/>
  <c r="F188" i="15"/>
  <c r="F199" i="15"/>
  <c r="G188" i="15"/>
  <c r="G199" i="15"/>
  <c r="H199" i="15"/>
  <c r="F212" i="15"/>
  <c r="G212" i="15"/>
  <c r="H212" i="15"/>
  <c r="H208" i="15"/>
  <c r="E143" i="15"/>
  <c r="E149" i="15"/>
  <c r="F143" i="15"/>
  <c r="F149" i="15"/>
  <c r="G149" i="15"/>
  <c r="H149" i="15"/>
  <c r="D162" i="15"/>
  <c r="E162" i="15"/>
  <c r="F162" i="15"/>
  <c r="E144" i="15"/>
  <c r="E150" i="15"/>
  <c r="F144" i="15"/>
  <c r="F150" i="15"/>
  <c r="G150" i="15"/>
  <c r="H150" i="15"/>
  <c r="D163" i="15"/>
  <c r="E163" i="15"/>
  <c r="F163" i="15"/>
  <c r="E145" i="15"/>
  <c r="E151" i="15"/>
  <c r="F145" i="15"/>
  <c r="F151" i="15"/>
  <c r="G151" i="15"/>
  <c r="H151" i="15"/>
  <c r="D164" i="15"/>
  <c r="E164" i="15"/>
  <c r="F164" i="15"/>
  <c r="E146" i="15"/>
  <c r="E152" i="15"/>
  <c r="F146" i="15"/>
  <c r="F152" i="15"/>
  <c r="G152" i="15"/>
  <c r="H152" i="15"/>
  <c r="D165" i="15"/>
  <c r="E165" i="15"/>
  <c r="F165" i="15"/>
  <c r="F161" i="15"/>
  <c r="E61" i="15"/>
  <c r="E72" i="15"/>
  <c r="F61" i="15"/>
  <c r="F72" i="15"/>
  <c r="G61" i="15"/>
  <c r="G72" i="15"/>
  <c r="H72" i="15"/>
  <c r="F85" i="15"/>
  <c r="G85" i="15"/>
  <c r="H85" i="15"/>
  <c r="E62" i="15"/>
  <c r="E73" i="15"/>
  <c r="F62" i="15"/>
  <c r="F73" i="15"/>
  <c r="G62" i="15"/>
  <c r="G73" i="15"/>
  <c r="H73" i="15"/>
  <c r="F86" i="15"/>
  <c r="G86" i="15"/>
  <c r="H86" i="15"/>
  <c r="E63" i="15"/>
  <c r="E74" i="15"/>
  <c r="F63" i="15"/>
  <c r="F74" i="15"/>
  <c r="G63" i="15"/>
  <c r="G74" i="15"/>
  <c r="H74" i="15"/>
  <c r="F87" i="15"/>
  <c r="G87" i="15"/>
  <c r="H87" i="15"/>
  <c r="E64" i="15"/>
  <c r="E75" i="15"/>
  <c r="F64" i="15"/>
  <c r="F75" i="15"/>
  <c r="G64" i="15"/>
  <c r="G75" i="15"/>
  <c r="H75" i="15"/>
  <c r="F88" i="15"/>
  <c r="G88" i="15"/>
  <c r="H88" i="15"/>
  <c r="H84" i="15"/>
  <c r="E19" i="15"/>
  <c r="E25" i="15"/>
  <c r="F19" i="15"/>
  <c r="F25" i="15"/>
  <c r="G19" i="15"/>
  <c r="G25" i="15"/>
  <c r="H25" i="15"/>
  <c r="D38" i="15"/>
  <c r="E38" i="15"/>
  <c r="F38" i="15"/>
  <c r="E20" i="15"/>
  <c r="E26" i="15"/>
  <c r="F20" i="15"/>
  <c r="F26" i="15"/>
  <c r="G20" i="15"/>
  <c r="G26" i="15"/>
  <c r="H26" i="15"/>
  <c r="D39" i="15"/>
  <c r="E39" i="15"/>
  <c r="F39" i="15"/>
  <c r="E21" i="15"/>
  <c r="E27" i="15"/>
  <c r="F21" i="15"/>
  <c r="F27" i="15"/>
  <c r="G21" i="15"/>
  <c r="G27" i="15"/>
  <c r="H27" i="15"/>
  <c r="D40" i="15"/>
  <c r="E40" i="15"/>
  <c r="F40" i="15"/>
  <c r="E22" i="15"/>
  <c r="E28" i="15"/>
  <c r="F22" i="15"/>
  <c r="F28" i="15"/>
  <c r="G22" i="15"/>
  <c r="G28" i="15"/>
  <c r="H28" i="15"/>
  <c r="D41" i="15"/>
  <c r="E41" i="15"/>
  <c r="F41" i="15"/>
  <c r="F37" i="15"/>
  <c r="H79" i="14"/>
  <c r="H78" i="14"/>
  <c r="H80" i="14"/>
  <c r="H81" i="14"/>
  <c r="H82" i="14"/>
  <c r="H31" i="14"/>
  <c r="H30" i="14"/>
  <c r="H29" i="14"/>
  <c r="H28" i="14"/>
  <c r="H27" i="14"/>
  <c r="H82" i="11"/>
  <c r="H81" i="11"/>
  <c r="H80" i="11"/>
  <c r="H79" i="11"/>
  <c r="H78" i="11"/>
  <c r="H28" i="11"/>
  <c r="H27" i="11"/>
  <c r="H29" i="11"/>
  <c r="H30" i="11"/>
  <c r="H31" i="11"/>
  <c r="G163" i="15"/>
  <c r="H163" i="15"/>
  <c r="G164" i="15"/>
  <c r="H164" i="15"/>
  <c r="G165" i="15"/>
  <c r="H165" i="15"/>
  <c r="G162" i="15"/>
  <c r="H162" i="15"/>
  <c r="I209" i="15"/>
  <c r="J209" i="15"/>
  <c r="I210" i="15"/>
  <c r="J210" i="15"/>
  <c r="I211" i="15"/>
  <c r="J211" i="15"/>
  <c r="I212" i="15"/>
  <c r="J212" i="15"/>
  <c r="I208" i="15"/>
  <c r="J208" i="15"/>
  <c r="H224" i="15"/>
  <c r="K224" i="15"/>
  <c r="H229" i="15"/>
  <c r="K229" i="15"/>
  <c r="H230" i="15"/>
  <c r="K230" i="15"/>
  <c r="H223" i="15"/>
  <c r="K223" i="15"/>
  <c r="G235" i="15"/>
  <c r="G236" i="15"/>
  <c r="F235" i="15"/>
  <c r="F236" i="15"/>
  <c r="E235" i="15"/>
  <c r="E236" i="15"/>
  <c r="H236" i="15"/>
  <c r="H235" i="15"/>
  <c r="H234" i="15"/>
  <c r="L230" i="15"/>
  <c r="I230" i="15"/>
  <c r="L229" i="15"/>
  <c r="I229" i="15"/>
  <c r="L224" i="15"/>
  <c r="I224" i="15"/>
  <c r="L223" i="15"/>
  <c r="I223" i="15"/>
  <c r="D212" i="15"/>
  <c r="D211" i="15"/>
  <c r="D210" i="15"/>
  <c r="D209" i="15"/>
  <c r="I199" i="15"/>
  <c r="C199" i="15"/>
  <c r="I198" i="15"/>
  <c r="C198" i="15"/>
  <c r="I197" i="15"/>
  <c r="C197" i="15"/>
  <c r="I196" i="15"/>
  <c r="C196" i="15"/>
  <c r="C195" i="15"/>
  <c r="I189" i="15"/>
  <c r="H189" i="15"/>
  <c r="J189" i="15"/>
  <c r="K189" i="15"/>
  <c r="I188" i="15"/>
  <c r="H188" i="15"/>
  <c r="J188" i="15"/>
  <c r="K188" i="15"/>
  <c r="I187" i="15"/>
  <c r="H187" i="15"/>
  <c r="J187" i="15"/>
  <c r="K187" i="15"/>
  <c r="I186" i="15"/>
  <c r="H186" i="15"/>
  <c r="J186" i="15"/>
  <c r="K186" i="15"/>
  <c r="I185" i="15"/>
  <c r="H185" i="15"/>
  <c r="J185" i="15"/>
  <c r="K185" i="15"/>
  <c r="I183" i="15"/>
  <c r="H183" i="15"/>
  <c r="J183" i="15"/>
  <c r="K183" i="15"/>
  <c r="I182" i="15"/>
  <c r="H182" i="15"/>
  <c r="J182" i="15"/>
  <c r="K182" i="15"/>
  <c r="I181" i="15"/>
  <c r="H181" i="15"/>
  <c r="J181" i="15"/>
  <c r="K181" i="15"/>
  <c r="I180" i="15"/>
  <c r="H180" i="15"/>
  <c r="J180" i="15"/>
  <c r="K180" i="15"/>
  <c r="B165" i="15"/>
  <c r="B164" i="15"/>
  <c r="B163" i="15"/>
  <c r="B162" i="15"/>
  <c r="G161" i="15"/>
  <c r="I152" i="15"/>
  <c r="C146" i="15"/>
  <c r="C152" i="15"/>
  <c r="I151" i="15"/>
  <c r="C145" i="15"/>
  <c r="C151" i="15"/>
  <c r="I150" i="15"/>
  <c r="C144" i="15"/>
  <c r="C150" i="15"/>
  <c r="I149" i="15"/>
  <c r="C143" i="15"/>
  <c r="C149" i="15"/>
  <c r="I148" i="15"/>
  <c r="H148" i="15"/>
  <c r="C142" i="15"/>
  <c r="C148" i="15"/>
  <c r="I146" i="15"/>
  <c r="H146" i="15"/>
  <c r="I145" i="15"/>
  <c r="H145" i="15"/>
  <c r="I144" i="15"/>
  <c r="H144" i="15"/>
  <c r="I143" i="15"/>
  <c r="H143" i="15"/>
  <c r="I135" i="15"/>
  <c r="H135" i="15"/>
  <c r="J135" i="15"/>
  <c r="K135" i="15"/>
  <c r="I134" i="15"/>
  <c r="H134" i="15"/>
  <c r="J134" i="15"/>
  <c r="K134" i="15"/>
  <c r="I133" i="15"/>
  <c r="H133" i="15"/>
  <c r="J133" i="15"/>
  <c r="K133" i="15"/>
  <c r="I132" i="15"/>
  <c r="H132" i="15"/>
  <c r="J132" i="15"/>
  <c r="K132" i="15"/>
  <c r="I11" i="15"/>
  <c r="H11" i="15"/>
  <c r="J92" i="14"/>
  <c r="J93" i="14"/>
  <c r="J94" i="14"/>
  <c r="J95" i="14"/>
  <c r="J96" i="14"/>
  <c r="J91" i="14"/>
  <c r="H42" i="14"/>
  <c r="H43" i="14"/>
  <c r="H44" i="14"/>
  <c r="H45" i="14"/>
  <c r="H41" i="14"/>
  <c r="J96" i="11"/>
  <c r="G39" i="15"/>
  <c r="H39" i="15"/>
  <c r="G40" i="15"/>
  <c r="H40" i="15"/>
  <c r="G41" i="15"/>
  <c r="H41" i="15"/>
  <c r="G38" i="15"/>
  <c r="H38" i="15"/>
  <c r="I85" i="15"/>
  <c r="J85" i="15"/>
  <c r="I86" i="15"/>
  <c r="J86" i="15"/>
  <c r="I87" i="15"/>
  <c r="J87" i="15"/>
  <c r="I88" i="15"/>
  <c r="J88" i="15"/>
  <c r="I84" i="15"/>
  <c r="J84" i="15"/>
  <c r="H99" i="15"/>
  <c r="K99" i="15"/>
  <c r="L99" i="15"/>
  <c r="H100" i="15"/>
  <c r="K100" i="15"/>
  <c r="L100" i="15"/>
  <c r="H105" i="15"/>
  <c r="K105" i="15"/>
  <c r="L105" i="15"/>
  <c r="H106" i="15"/>
  <c r="K106" i="15"/>
  <c r="L106" i="15"/>
  <c r="G111" i="15"/>
  <c r="G112" i="15"/>
  <c r="F111" i="15"/>
  <c r="F112" i="15"/>
  <c r="E111" i="15"/>
  <c r="E112" i="15"/>
  <c r="H112" i="15"/>
  <c r="H111" i="15"/>
  <c r="H110" i="15"/>
  <c r="I106" i="15"/>
  <c r="I105" i="15"/>
  <c r="I100" i="15"/>
  <c r="I99" i="15"/>
  <c r="D88" i="15"/>
  <c r="D87" i="15"/>
  <c r="D86" i="15"/>
  <c r="D85" i="15"/>
  <c r="I75" i="15"/>
  <c r="C75" i="15"/>
  <c r="I74" i="15"/>
  <c r="C74" i="15"/>
  <c r="I73" i="15"/>
  <c r="C73" i="15"/>
  <c r="I72" i="15"/>
  <c r="C72" i="15"/>
  <c r="C71" i="15"/>
  <c r="I65" i="15"/>
  <c r="H65" i="15"/>
  <c r="J65" i="15"/>
  <c r="K65" i="15"/>
  <c r="I64" i="15"/>
  <c r="H64" i="15"/>
  <c r="J64" i="15"/>
  <c r="K64" i="15"/>
  <c r="I63" i="15"/>
  <c r="H63" i="15"/>
  <c r="J63" i="15"/>
  <c r="K63" i="15"/>
  <c r="I62" i="15"/>
  <c r="H62" i="15"/>
  <c r="J62" i="15"/>
  <c r="K62" i="15"/>
  <c r="I61" i="15"/>
  <c r="H61" i="15"/>
  <c r="J61" i="15"/>
  <c r="K61" i="15"/>
  <c r="I59" i="15"/>
  <c r="H59" i="15"/>
  <c r="J59" i="15"/>
  <c r="K59" i="15"/>
  <c r="I58" i="15"/>
  <c r="H58" i="15"/>
  <c r="J58" i="15"/>
  <c r="K58" i="15"/>
  <c r="I57" i="15"/>
  <c r="H57" i="15"/>
  <c r="J57" i="15"/>
  <c r="K57" i="15"/>
  <c r="I56" i="15"/>
  <c r="H56" i="15"/>
  <c r="J56" i="15"/>
  <c r="K56" i="15"/>
  <c r="B41" i="15"/>
  <c r="B40" i="15"/>
  <c r="B39" i="15"/>
  <c r="B38" i="15"/>
  <c r="G37" i="15"/>
  <c r="I28" i="15"/>
  <c r="C22" i="15"/>
  <c r="C28" i="15"/>
  <c r="I27" i="15"/>
  <c r="C21" i="15"/>
  <c r="C27" i="15"/>
  <c r="I26" i="15"/>
  <c r="C20" i="15"/>
  <c r="C26" i="15"/>
  <c r="I25" i="15"/>
  <c r="C19" i="15"/>
  <c r="C25" i="15"/>
  <c r="I24" i="15"/>
  <c r="H24" i="15"/>
  <c r="C18" i="15"/>
  <c r="C24" i="15"/>
  <c r="I22" i="15"/>
  <c r="H22" i="15"/>
  <c r="I21" i="15"/>
  <c r="H21" i="15"/>
  <c r="I20" i="15"/>
  <c r="H20" i="15"/>
  <c r="I19" i="15"/>
  <c r="H19" i="15"/>
  <c r="J11" i="15"/>
  <c r="K11" i="15"/>
  <c r="I10" i="15"/>
  <c r="H10" i="15"/>
  <c r="J10" i="15"/>
  <c r="K10" i="15"/>
  <c r="I9" i="15"/>
  <c r="H9" i="15"/>
  <c r="J9" i="15"/>
  <c r="K9" i="15"/>
  <c r="I8" i="15"/>
  <c r="H8" i="15"/>
  <c r="J8" i="15"/>
  <c r="K8" i="15"/>
  <c r="G119" i="14"/>
  <c r="G120" i="14"/>
  <c r="F119" i="14"/>
  <c r="F120" i="14"/>
  <c r="E119" i="14"/>
  <c r="E120" i="14"/>
  <c r="H113" i="14"/>
  <c r="K113" i="14"/>
  <c r="H114" i="14"/>
  <c r="K114" i="14"/>
  <c r="H107" i="14"/>
  <c r="K107" i="14"/>
  <c r="H108" i="14"/>
  <c r="K108" i="14"/>
  <c r="H120" i="14"/>
  <c r="H119" i="14"/>
  <c r="H118" i="14"/>
  <c r="L114" i="14"/>
  <c r="I114" i="14"/>
  <c r="L113" i="14"/>
  <c r="I113" i="14"/>
  <c r="L108" i="14"/>
  <c r="I108" i="14"/>
  <c r="L107" i="14"/>
  <c r="I107" i="14"/>
  <c r="D96" i="14"/>
  <c r="D95" i="14"/>
  <c r="D94" i="14"/>
  <c r="D93" i="14"/>
  <c r="D92" i="14"/>
  <c r="I82" i="14"/>
  <c r="C82" i="14"/>
  <c r="I81" i="14"/>
  <c r="C81" i="14"/>
  <c r="I80" i="14"/>
  <c r="C80" i="14"/>
  <c r="I79" i="14"/>
  <c r="C79" i="14"/>
  <c r="I78" i="14"/>
  <c r="C78" i="14"/>
  <c r="C77" i="14"/>
  <c r="I71" i="14"/>
  <c r="H71" i="14"/>
  <c r="J71" i="14"/>
  <c r="K71" i="14"/>
  <c r="I70" i="14"/>
  <c r="H70" i="14"/>
  <c r="J70" i="14"/>
  <c r="K70" i="14"/>
  <c r="I69" i="14"/>
  <c r="H69" i="14"/>
  <c r="J69" i="14"/>
  <c r="K69" i="14"/>
  <c r="I68" i="14"/>
  <c r="H68" i="14"/>
  <c r="J68" i="14"/>
  <c r="K68" i="14"/>
  <c r="I67" i="14"/>
  <c r="H67" i="14"/>
  <c r="J67" i="14"/>
  <c r="K67" i="14"/>
  <c r="I66" i="14"/>
  <c r="H66" i="14"/>
  <c r="J66" i="14"/>
  <c r="K66" i="14"/>
  <c r="I64" i="14"/>
  <c r="H64" i="14"/>
  <c r="J64" i="14"/>
  <c r="K64" i="14"/>
  <c r="I63" i="14"/>
  <c r="H63" i="14"/>
  <c r="J63" i="14"/>
  <c r="K63" i="14"/>
  <c r="I62" i="14"/>
  <c r="H62" i="14"/>
  <c r="J62" i="14"/>
  <c r="K62" i="14"/>
  <c r="I61" i="14"/>
  <c r="H61" i="14"/>
  <c r="J61" i="14"/>
  <c r="K61" i="14"/>
  <c r="I60" i="14"/>
  <c r="H60" i="14"/>
  <c r="J60" i="14"/>
  <c r="K60" i="14"/>
  <c r="B45" i="14"/>
  <c r="B44" i="14"/>
  <c r="B43" i="14"/>
  <c r="B42" i="14"/>
  <c r="B41" i="14"/>
  <c r="I31" i="14"/>
  <c r="C24" i="14"/>
  <c r="C31" i="14"/>
  <c r="I30" i="14"/>
  <c r="C23" i="14"/>
  <c r="C30" i="14"/>
  <c r="I29" i="14"/>
  <c r="C22" i="14"/>
  <c r="C29" i="14"/>
  <c r="I28" i="14"/>
  <c r="C21" i="14"/>
  <c r="C28" i="14"/>
  <c r="I27" i="14"/>
  <c r="C20" i="14"/>
  <c r="C27" i="14"/>
  <c r="I26" i="14"/>
  <c r="H26" i="14"/>
  <c r="C19" i="14"/>
  <c r="C26" i="14"/>
  <c r="I24" i="14"/>
  <c r="H24" i="14"/>
  <c r="I23" i="14"/>
  <c r="H23" i="14"/>
  <c r="I22" i="14"/>
  <c r="H22" i="14"/>
  <c r="I21" i="14"/>
  <c r="H21" i="14"/>
  <c r="I20" i="14"/>
  <c r="H20" i="14"/>
  <c r="I12" i="14"/>
  <c r="H12" i="14"/>
  <c r="J12" i="14"/>
  <c r="K12" i="14"/>
  <c r="I11" i="14"/>
  <c r="H11" i="14"/>
  <c r="J11" i="14"/>
  <c r="K11" i="14"/>
  <c r="I10" i="14"/>
  <c r="H10" i="14"/>
  <c r="J10" i="14"/>
  <c r="K10" i="14"/>
  <c r="I9" i="14"/>
  <c r="H9" i="14"/>
  <c r="J9" i="14"/>
  <c r="K9" i="14"/>
  <c r="I8" i="14"/>
  <c r="H8" i="14"/>
  <c r="J8" i="14"/>
  <c r="K8" i="14"/>
  <c r="J92" i="11"/>
  <c r="J93" i="11"/>
  <c r="J94" i="11"/>
  <c r="J95" i="11"/>
  <c r="J91" i="11"/>
  <c r="I26" i="11"/>
  <c r="I27" i="11"/>
  <c r="I28" i="11"/>
  <c r="I29" i="11"/>
  <c r="I30" i="11"/>
  <c r="I31" i="11"/>
  <c r="H26" i="11"/>
  <c r="C20" i="11"/>
  <c r="C27" i="11"/>
  <c r="C21" i="11"/>
  <c r="C28" i="11"/>
  <c r="C22" i="11"/>
  <c r="C29" i="11"/>
  <c r="C23" i="11"/>
  <c r="C30" i="11"/>
  <c r="C24" i="11"/>
  <c r="C31" i="11"/>
  <c r="C19" i="11"/>
  <c r="C26" i="11"/>
  <c r="H21" i="11"/>
  <c r="H22" i="11"/>
  <c r="H23" i="11"/>
  <c r="H24" i="11"/>
  <c r="D95" i="11"/>
  <c r="D96" i="11"/>
  <c r="D94" i="11"/>
  <c r="D93" i="11"/>
  <c r="D92" i="11"/>
  <c r="H114" i="11"/>
  <c r="K114" i="11"/>
  <c r="L114" i="11"/>
  <c r="H113" i="11"/>
  <c r="K113" i="11"/>
  <c r="L113" i="11"/>
  <c r="H20" i="11"/>
  <c r="H108" i="11"/>
  <c r="K108" i="11"/>
  <c r="L108" i="11"/>
  <c r="G119" i="11"/>
  <c r="F119" i="11"/>
  <c r="E119" i="11"/>
  <c r="E120" i="11"/>
  <c r="F120" i="11"/>
  <c r="G120" i="11"/>
  <c r="H120" i="11"/>
  <c r="H119" i="11"/>
  <c r="H118" i="11"/>
  <c r="I114" i="11"/>
  <c r="I113" i="11"/>
  <c r="I108" i="11"/>
  <c r="I107" i="11"/>
  <c r="I82" i="11"/>
  <c r="C82" i="11"/>
  <c r="I81" i="11"/>
  <c r="C81" i="11"/>
  <c r="I80" i="11"/>
  <c r="C80" i="11"/>
  <c r="I79" i="11"/>
  <c r="C79" i="11"/>
  <c r="I78" i="11"/>
  <c r="C78" i="11"/>
  <c r="C77" i="11"/>
  <c r="I71" i="11"/>
  <c r="H71" i="11"/>
  <c r="J71" i="11"/>
  <c r="K71" i="11"/>
  <c r="I70" i="11"/>
  <c r="H70" i="11"/>
  <c r="J70" i="11"/>
  <c r="K70" i="11"/>
  <c r="I69" i="11"/>
  <c r="H69" i="11"/>
  <c r="J69" i="11"/>
  <c r="K69" i="11"/>
  <c r="I68" i="11"/>
  <c r="H68" i="11"/>
  <c r="J68" i="11"/>
  <c r="K68" i="11"/>
  <c r="I67" i="11"/>
  <c r="H67" i="11"/>
  <c r="J67" i="11"/>
  <c r="K67" i="11"/>
  <c r="I66" i="11"/>
  <c r="H66" i="11"/>
  <c r="J66" i="11"/>
  <c r="K66" i="11"/>
  <c r="I64" i="11"/>
  <c r="H64" i="11"/>
  <c r="J64" i="11"/>
  <c r="K64" i="11"/>
  <c r="I63" i="11"/>
  <c r="H63" i="11"/>
  <c r="J63" i="11"/>
  <c r="K63" i="11"/>
  <c r="I62" i="11"/>
  <c r="H62" i="11"/>
  <c r="J62" i="11"/>
  <c r="K62" i="11"/>
  <c r="I61" i="11"/>
  <c r="H61" i="11"/>
  <c r="J61" i="11"/>
  <c r="K61" i="11"/>
  <c r="I60" i="11"/>
  <c r="H60" i="11"/>
  <c r="J60" i="11"/>
  <c r="K60" i="11"/>
  <c r="I24" i="11"/>
  <c r="I23" i="11"/>
  <c r="I22" i="11"/>
  <c r="I21" i="11"/>
  <c r="I20" i="11"/>
  <c r="I12" i="11"/>
  <c r="H12" i="11"/>
  <c r="J12" i="11"/>
  <c r="K12" i="11"/>
  <c r="I11" i="11"/>
  <c r="H11" i="11"/>
  <c r="J11" i="11"/>
  <c r="K11" i="11"/>
  <c r="I10" i="11"/>
  <c r="H10" i="11"/>
  <c r="J10" i="11"/>
  <c r="K10" i="11"/>
  <c r="I9" i="11"/>
  <c r="H9" i="11"/>
  <c r="J9" i="11"/>
  <c r="K9" i="11"/>
  <c r="I8" i="11"/>
  <c r="H8" i="11"/>
  <c r="J8" i="11"/>
  <c r="K8" i="11"/>
  <c r="E15" i="8"/>
  <c r="E27" i="8"/>
  <c r="F15" i="8"/>
  <c r="F27" i="8"/>
  <c r="G15" i="8"/>
  <c r="G27" i="8"/>
  <c r="E16" i="8"/>
  <c r="E28" i="8"/>
  <c r="F16" i="8"/>
  <c r="F28" i="8"/>
  <c r="G16" i="8"/>
  <c r="G28" i="8"/>
  <c r="E17" i="8"/>
  <c r="E29" i="8"/>
  <c r="F17" i="8"/>
  <c r="F29" i="8"/>
  <c r="G17" i="8"/>
  <c r="G29" i="8"/>
  <c r="E18" i="8"/>
  <c r="E30" i="8"/>
  <c r="F18" i="8"/>
  <c r="F30" i="8"/>
  <c r="G18" i="8"/>
  <c r="G30" i="8"/>
  <c r="G14" i="8"/>
  <c r="F14" i="8"/>
  <c r="E14" i="8"/>
  <c r="F26" i="8"/>
  <c r="G26" i="8"/>
  <c r="E26" i="8"/>
  <c r="H83" i="8"/>
  <c r="I83" i="8"/>
  <c r="H84" i="8"/>
  <c r="I84" i="8"/>
  <c r="H89" i="8"/>
  <c r="I89" i="8"/>
  <c r="H90" i="8"/>
  <c r="I90" i="8"/>
  <c r="I75" i="8"/>
  <c r="H75" i="8"/>
  <c r="C75" i="8"/>
  <c r="I74" i="8"/>
  <c r="H74" i="8"/>
  <c r="C74" i="8"/>
  <c r="I73" i="8"/>
  <c r="H73" i="8"/>
  <c r="C73" i="8"/>
  <c r="I72" i="8"/>
  <c r="H72" i="8"/>
  <c r="C72" i="8"/>
  <c r="I71" i="8"/>
  <c r="H71" i="8"/>
  <c r="C71" i="8"/>
  <c r="I70" i="8"/>
  <c r="H70" i="8"/>
  <c r="C70" i="8"/>
  <c r="I69" i="8"/>
  <c r="H69" i="8"/>
  <c r="C69" i="8"/>
  <c r="I68" i="8"/>
  <c r="H68" i="8"/>
  <c r="C68" i="8"/>
  <c r="I67" i="8"/>
  <c r="H67" i="8"/>
  <c r="C67" i="8"/>
  <c r="I66" i="8"/>
  <c r="H66" i="8"/>
  <c r="C66" i="8"/>
  <c r="I65" i="8"/>
  <c r="H65" i="8"/>
  <c r="C65" i="8"/>
  <c r="C64" i="8"/>
  <c r="I58" i="8"/>
  <c r="H58" i="8"/>
  <c r="J58" i="8"/>
  <c r="K58" i="8"/>
  <c r="I57" i="8"/>
  <c r="H57" i="8"/>
  <c r="J57" i="8"/>
  <c r="K57" i="8"/>
  <c r="I56" i="8"/>
  <c r="H56" i="8"/>
  <c r="J56" i="8"/>
  <c r="K56" i="8"/>
  <c r="I55" i="8"/>
  <c r="H55" i="8"/>
  <c r="J55" i="8"/>
  <c r="K55" i="8"/>
  <c r="I54" i="8"/>
  <c r="H54" i="8"/>
  <c r="J54" i="8"/>
  <c r="K54" i="8"/>
  <c r="I53" i="8"/>
  <c r="H53" i="8"/>
  <c r="J53" i="8"/>
  <c r="K53" i="8"/>
  <c r="I51" i="8"/>
  <c r="H51" i="8"/>
  <c r="J51" i="8"/>
  <c r="K51" i="8"/>
  <c r="I50" i="8"/>
  <c r="H50" i="8"/>
  <c r="J50" i="8"/>
  <c r="K50" i="8"/>
  <c r="I49" i="8"/>
  <c r="H49" i="8"/>
  <c r="J49" i="8"/>
  <c r="K49" i="8"/>
  <c r="I48" i="8"/>
  <c r="H48" i="8"/>
  <c r="J48" i="8"/>
  <c r="K48" i="8"/>
  <c r="I47" i="8"/>
  <c r="H47" i="8"/>
  <c r="J47" i="8"/>
  <c r="K47" i="8"/>
  <c r="C36" i="8"/>
  <c r="C35" i="8"/>
  <c r="C34" i="8"/>
  <c r="C33" i="8"/>
  <c r="C32" i="8"/>
  <c r="C31" i="8"/>
  <c r="C30" i="8"/>
  <c r="C29" i="8"/>
  <c r="C28" i="8"/>
  <c r="C27" i="8"/>
  <c r="C26" i="8"/>
  <c r="I18" i="8"/>
  <c r="H18" i="8"/>
  <c r="J18" i="8"/>
  <c r="K18" i="8"/>
  <c r="I19" i="8"/>
  <c r="H19" i="8"/>
  <c r="J19" i="8"/>
  <c r="K19" i="8"/>
  <c r="I26" i="8"/>
  <c r="I27" i="8"/>
  <c r="I28" i="8"/>
  <c r="I29" i="8"/>
  <c r="I30" i="8"/>
  <c r="I31" i="8"/>
  <c r="I32" i="8"/>
  <c r="I33" i="8"/>
  <c r="I34" i="8"/>
  <c r="I35" i="8"/>
  <c r="I36" i="8"/>
  <c r="H27" i="8"/>
  <c r="H28" i="8"/>
  <c r="H29" i="8"/>
  <c r="H30" i="8"/>
  <c r="H31" i="8"/>
  <c r="H32" i="8"/>
  <c r="H33" i="8"/>
  <c r="H34" i="8"/>
  <c r="H35" i="8"/>
  <c r="H36" i="8"/>
  <c r="H26" i="8"/>
  <c r="C25" i="8"/>
  <c r="H17" i="8"/>
  <c r="I17" i="8"/>
  <c r="J17" i="8"/>
  <c r="K17" i="8"/>
  <c r="I16" i="8"/>
  <c r="H16" i="8"/>
  <c r="J16" i="8"/>
  <c r="K16" i="8"/>
  <c r="I15" i="8"/>
  <c r="H15" i="8"/>
  <c r="J15" i="8"/>
  <c r="K15" i="8"/>
  <c r="I14" i="8"/>
  <c r="H14" i="8"/>
  <c r="J14" i="8"/>
  <c r="K14" i="8"/>
  <c r="I12" i="8"/>
  <c r="H12" i="8"/>
  <c r="J12" i="8"/>
  <c r="K12" i="8"/>
  <c r="I11" i="8"/>
  <c r="H11" i="8"/>
  <c r="J11" i="8"/>
  <c r="K11" i="8"/>
  <c r="I10" i="8"/>
  <c r="H10" i="8"/>
  <c r="J10" i="8"/>
  <c r="K10" i="8"/>
  <c r="I9" i="8"/>
  <c r="H9" i="8"/>
  <c r="J9" i="8"/>
  <c r="K9" i="8"/>
  <c r="I8" i="8"/>
  <c r="H8" i="8"/>
  <c r="J8" i="8"/>
  <c r="K8" i="8"/>
  <c r="H213" i="15"/>
  <c r="M207" i="15"/>
  <c r="F166" i="15"/>
  <c r="L160" i="15"/>
  <c r="F42" i="15"/>
  <c r="L36" i="15"/>
  <c r="H89" i="15"/>
  <c r="M83" i="15"/>
  <c r="Z97" i="11"/>
  <c r="X70" i="11"/>
  <c r="O46" i="11"/>
  <c r="W16" i="11"/>
  <c r="X46" i="11"/>
  <c r="X16" i="11"/>
  <c r="Q97" i="11"/>
  <c r="W70" i="11"/>
  <c r="O46" i="14"/>
  <c r="W16" i="14"/>
  <c r="X46" i="14"/>
  <c r="X16" i="14"/>
  <c r="O174" i="20"/>
  <c r="W144" i="20"/>
  <c r="Q225" i="20"/>
  <c r="Y195" i="20"/>
  <c r="Z225" i="20"/>
  <c r="Z195" i="20"/>
  <c r="H225" i="20"/>
  <c r="X195" i="20"/>
  <c r="AA195" i="20"/>
  <c r="I9" i="10"/>
  <c r="F174" i="20"/>
  <c r="V144" i="20"/>
  <c r="Y144" i="20"/>
  <c r="G9" i="10"/>
  <c r="E9" i="10"/>
  <c r="Y208" i="20"/>
  <c r="AB195" i="20"/>
  <c r="J9" i="10"/>
  <c r="Z144" i="20"/>
  <c r="H9" i="10"/>
  <c r="W157" i="20"/>
  <c r="F46" i="14"/>
  <c r="W29" i="14"/>
  <c r="V16" i="14"/>
  <c r="Z16" i="14"/>
  <c r="H7" i="10"/>
  <c r="H97" i="14"/>
  <c r="V68" i="14"/>
  <c r="Q97" i="14"/>
  <c r="W68" i="14"/>
  <c r="Z97" i="14"/>
  <c r="X68" i="14"/>
  <c r="Y68" i="14"/>
  <c r="I7" i="10"/>
  <c r="Y16" i="14"/>
  <c r="G7" i="10"/>
  <c r="E7" i="10"/>
  <c r="H97" i="11"/>
  <c r="V70" i="11"/>
  <c r="Z70" i="11"/>
  <c r="J6" i="10"/>
  <c r="W84" i="11"/>
  <c r="Y70" i="11"/>
  <c r="I6" i="10"/>
  <c r="F46" i="11"/>
  <c r="V16" i="11"/>
  <c r="Y16" i="11"/>
  <c r="G6" i="10"/>
  <c r="E6" i="10"/>
  <c r="W29" i="11"/>
  <c r="Z16" i="11"/>
  <c r="H6" i="10"/>
  <c r="W84" i="14"/>
  <c r="F44" i="20"/>
  <c r="W27" i="20"/>
  <c r="H93" i="20"/>
  <c r="Y76" i="20"/>
  <c r="V14" i="20"/>
  <c r="Z14" i="20"/>
  <c r="H8" i="10"/>
  <c r="Z68" i="14"/>
  <c r="J7" i="10"/>
  <c r="X63" i="20"/>
  <c r="AB63" i="20"/>
  <c r="J8" i="10"/>
  <c r="AA63" i="20"/>
  <c r="I8" i="10"/>
  <c r="Y14" i="20"/>
  <c r="G8" i="10"/>
  <c r="E8" i="10"/>
</calcChain>
</file>

<file path=xl/sharedStrings.xml><?xml version="1.0" encoding="utf-8"?>
<sst xmlns="http://schemas.openxmlformats.org/spreadsheetml/2006/main" count="802" uniqueCount="61">
  <si>
    <t>MAU</t>
  </si>
  <si>
    <t>RT</t>
  </si>
  <si>
    <t>mean</t>
  </si>
  <si>
    <t>sd</t>
  </si>
  <si>
    <t>rsa</t>
  </si>
  <si>
    <t>%RSA</t>
  </si>
  <si>
    <t>Amlodipine</t>
  </si>
  <si>
    <t>Time</t>
  </si>
  <si>
    <t>DMEM A-B</t>
  </si>
  <si>
    <t>DMEM B-A</t>
  </si>
  <si>
    <t>DMEM A-B Donor</t>
  </si>
  <si>
    <t>DMEM B-A Donor</t>
  </si>
  <si>
    <t>y = 13.636x - 1.7384</t>
  </si>
  <si>
    <t>A-B</t>
  </si>
  <si>
    <t>B-A</t>
  </si>
  <si>
    <t>Atorvastatin</t>
  </si>
  <si>
    <t>Drug</t>
  </si>
  <si>
    <t>area</t>
  </si>
  <si>
    <r>
      <t>V</t>
    </r>
    <r>
      <rPr>
        <b/>
        <vertAlign val="subscript"/>
        <sz val="10"/>
        <rFont val="Arial"/>
        <family val="2"/>
      </rPr>
      <t>r</t>
    </r>
  </si>
  <si>
    <r>
      <t>V</t>
    </r>
    <r>
      <rPr>
        <b/>
        <vertAlign val="subscript"/>
        <sz val="10"/>
        <rFont val="Arial"/>
        <family val="2"/>
      </rPr>
      <t>s</t>
    </r>
  </si>
  <si>
    <t>Drug loading</t>
  </si>
  <si>
    <t>mcl</t>
  </si>
  <si>
    <t>mcg</t>
  </si>
  <si>
    <t>Conc</t>
  </si>
  <si>
    <t>t (s)</t>
  </si>
  <si>
    <t>t</t>
  </si>
  <si>
    <t>µg/ml</t>
  </si>
  <si>
    <t>Σ (Conc)</t>
  </si>
  <si>
    <t>Corrected Ct</t>
  </si>
  <si>
    <t>Mt</t>
  </si>
  <si>
    <t>% released</t>
  </si>
  <si>
    <t>SLOPE</t>
  </si>
  <si>
    <r>
      <t>V</t>
    </r>
    <r>
      <rPr>
        <vertAlign val="subscript"/>
        <sz val="10"/>
        <rFont val="Arial"/>
        <family val="2"/>
      </rPr>
      <t>r</t>
    </r>
    <r>
      <rPr>
        <sz val="12"/>
        <color theme="1"/>
        <rFont val="Calibri"/>
        <family val="2"/>
        <scheme val="minor"/>
      </rPr>
      <t xml:space="preserve"> is the volume of the receiver (dissolution) vessel (ml)</t>
    </r>
  </si>
  <si>
    <r>
      <t>V</t>
    </r>
    <r>
      <rPr>
        <vertAlign val="subscript"/>
        <sz val="10"/>
        <rFont val="Arial"/>
        <family val="2"/>
      </rPr>
      <t>s</t>
    </r>
    <r>
      <rPr>
        <sz val="12"/>
        <color theme="1"/>
        <rFont val="Calibri"/>
        <family val="2"/>
        <scheme val="minor"/>
      </rPr>
      <t xml:space="preserve"> is the volume sampled (ml)</t>
    </r>
  </si>
  <si>
    <r>
      <t>C</t>
    </r>
    <r>
      <rPr>
        <vertAlign val="subscript"/>
        <sz val="10"/>
        <rFont val="Arial"/>
        <family val="2"/>
      </rPr>
      <t>n</t>
    </r>
    <r>
      <rPr>
        <sz val="12"/>
        <color theme="1"/>
        <rFont val="Calibri"/>
        <family val="2"/>
        <scheme val="minor"/>
      </rPr>
      <t xml:space="preserve"> is the current concentration in the dissolution medium (mg / L)</t>
    </r>
  </si>
  <si>
    <t xml:space="preserve">ΣCm is the summed total of previous concentrations </t>
  </si>
  <si>
    <r>
      <t>M</t>
    </r>
    <r>
      <rPr>
        <vertAlign val="subscript"/>
        <sz val="10"/>
        <rFont val="Arial"/>
        <family val="2"/>
      </rPr>
      <t>t</t>
    </r>
    <r>
      <rPr>
        <sz val="12"/>
        <color theme="1"/>
        <rFont val="Calibri"/>
        <family val="2"/>
        <scheme val="minor"/>
      </rPr>
      <t xml:space="preserve"> is the total drug released at time t (mg)</t>
    </r>
  </si>
  <si>
    <t>ug/ml mean</t>
  </si>
  <si>
    <t>ug/ml</t>
  </si>
  <si>
    <t>mg in 250 ml</t>
  </si>
  <si>
    <t>Dilution Factor</t>
  </si>
  <si>
    <t>Papp</t>
  </si>
  <si>
    <t>Dilution Factor 2</t>
  </si>
  <si>
    <t>Dilution Factor 4</t>
  </si>
  <si>
    <t>y = 26.07x - 1.8971</t>
  </si>
  <si>
    <t>Mean</t>
  </si>
  <si>
    <t>slope</t>
  </si>
  <si>
    <t>Compound</t>
  </si>
  <si>
    <t>Amlodipine FDC</t>
  </si>
  <si>
    <t>Atorvastatin FDC</t>
  </si>
  <si>
    <t>Papp 10-6 cm s-1</t>
  </si>
  <si>
    <t>Efflux Ratio</t>
  </si>
  <si>
    <t>Atorv</t>
  </si>
  <si>
    <t>8.28 ± 0.48</t>
  </si>
  <si>
    <t>2.11 ± 1.1</t>
  </si>
  <si>
    <t>5.11 ± 0.76</t>
  </si>
  <si>
    <t>0.89 ± 0.21</t>
  </si>
  <si>
    <t>9.28 ± 2.08</t>
  </si>
  <si>
    <t>10.12 ± 0.75</t>
  </si>
  <si>
    <t>5.17 ± 0.41</t>
  </si>
  <si>
    <t>4.66 ± 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</si>
</sst>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7" formatCode="#,##0.000000"/>
    <numFmt numFmtId="168" formatCode="0.0000000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1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167" fontId="0" fillId="0" borderId="0" xfId="0" applyNumberFormat="1"/>
    <xf numFmtId="11" fontId="3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 applyFill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Fill="1"/>
    <xf numFmtId="168" fontId="0" fillId="0" borderId="0" xfId="0" applyNumberFormat="1"/>
    <xf numFmtId="0" fontId="0" fillId="0" borderId="0" xfId="0" applyAlignment="1">
      <alignment horizontal="center"/>
    </xf>
  </cellXfs>
  <cellStyles count="7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A-B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DMEM'!$C$8:$C$12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'Amlodipine DMEM'!$H$8:$H$12</c:f>
              <c:numCache>
                <c:formatCode>General</c:formatCode>
                <c:ptCount val="5"/>
                <c:pt idx="0">
                  <c:v>0.3526913333333333</c:v>
                </c:pt>
                <c:pt idx="1">
                  <c:v>0.84788133333333338</c:v>
                </c:pt>
                <c:pt idx="2">
                  <c:v>2.7255533333333335</c:v>
                </c:pt>
                <c:pt idx="3">
                  <c:v>4.3584699999999996</c:v>
                </c:pt>
                <c:pt idx="4">
                  <c:v>5.8735733333333329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F-4930-BA96-FF396C331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818280"/>
        <c:axId val="-2038810664"/>
      </c:scatterChart>
      <c:valAx>
        <c:axId val="-2038818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38810664"/>
        <c:crosses val="autoZero"/>
        <c:crossBetween val="midCat"/>
      </c:valAx>
      <c:valAx>
        <c:axId val="-20388106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38818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 B-A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Atorv'!$E$208:$E$212</c:f>
              <c:numCache>
                <c:formatCode>0.0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</c:numCache>
            </c:numRef>
          </c:xVal>
          <c:yVal>
            <c:numRef>
              <c:f>'Amlodipine and Atorv'!$I$208:$I$212</c:f>
              <c:numCache>
                <c:formatCode>0.00</c:formatCode>
                <c:ptCount val="5"/>
                <c:pt idx="0">
                  <c:v>0</c:v>
                </c:pt>
                <c:pt idx="1">
                  <c:v>6.1938761404478855E-2</c:v>
                </c:pt>
                <c:pt idx="2">
                  <c:v>0.59042318680305961</c:v>
                </c:pt>
                <c:pt idx="3">
                  <c:v>1.2695764906460234</c:v>
                </c:pt>
                <c:pt idx="4">
                  <c:v>2.523653119528154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6A-4B99-AABE-94606A59D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94952"/>
        <c:axId val="-2039103688"/>
      </c:scatterChart>
      <c:valAx>
        <c:axId val="-203909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-2039103688"/>
        <c:crosses val="autoZero"/>
        <c:crossBetween val="midCat"/>
      </c:valAx>
      <c:valAx>
        <c:axId val="-20391036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39094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A-B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 Repeat'!$U$21:$U$26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'Amlodipine and Atorv Repeat'!$V$21:$V$26</c:f>
              <c:numCache>
                <c:formatCode>0.00</c:formatCode>
                <c:ptCount val="6"/>
                <c:pt idx="0">
                  <c:v>0</c:v>
                </c:pt>
                <c:pt idx="1">
                  <c:v>0.29173555811277335</c:v>
                </c:pt>
                <c:pt idx="2">
                  <c:v>0.42642105101649408</c:v>
                </c:pt>
                <c:pt idx="3">
                  <c:v>0.63255437923539193</c:v>
                </c:pt>
                <c:pt idx="4">
                  <c:v>0.85698112773302648</c:v>
                </c:pt>
                <c:pt idx="5">
                  <c:v>1.0571318757192174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A6-4A98-84FD-99C6FB59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155192"/>
        <c:axId val="-2039169064"/>
      </c:scatterChart>
      <c:valAx>
        <c:axId val="-2039155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39169064"/>
        <c:crosses val="autoZero"/>
        <c:crossBetween val="midCat"/>
      </c:valAx>
      <c:valAx>
        <c:axId val="-20391690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39155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B-A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 Repeat'!$W$70:$W$75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'Amlodipine and Atorv Repeat'!$X$70:$X$75</c:f>
              <c:numCache>
                <c:formatCode>0.00</c:formatCode>
                <c:ptCount val="6"/>
                <c:pt idx="0">
                  <c:v>0</c:v>
                </c:pt>
                <c:pt idx="1">
                  <c:v>0.2326792993223373</c:v>
                </c:pt>
                <c:pt idx="2">
                  <c:v>0.33201546605293442</c:v>
                </c:pt>
                <c:pt idx="3">
                  <c:v>0.51745328730341389</c:v>
                </c:pt>
                <c:pt idx="4">
                  <c:v>0.74358442142948478</c:v>
                </c:pt>
                <c:pt idx="5">
                  <c:v>1.0382053138984784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AE-4E01-87A0-B0E34680C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376520"/>
        <c:axId val="-2123321240"/>
      </c:scatterChart>
      <c:valAx>
        <c:axId val="-212237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3321240"/>
        <c:crosses val="autoZero"/>
        <c:crossBetween val="midCat"/>
      </c:valAx>
      <c:valAx>
        <c:axId val="-21233212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22376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 A-B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 Repeat'!$U$151:$U$156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'Amlodipine and Atorv Repeat'!$V$151:$V$156</c:f>
              <c:numCache>
                <c:formatCode>0.00</c:formatCode>
                <c:ptCount val="6"/>
                <c:pt idx="0">
                  <c:v>0</c:v>
                </c:pt>
                <c:pt idx="1">
                  <c:v>5.4590854184641919E-3</c:v>
                </c:pt>
                <c:pt idx="2">
                  <c:v>5.0416471670980727E-2</c:v>
                </c:pt>
                <c:pt idx="3">
                  <c:v>9.9015249928098917E-2</c:v>
                </c:pt>
                <c:pt idx="4">
                  <c:v>0.17820692320966347</c:v>
                </c:pt>
                <c:pt idx="5">
                  <c:v>0.25765753005464481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F4-49C1-A86C-3A8F7DA62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736856"/>
        <c:axId val="-2123345064"/>
      </c:scatterChart>
      <c:valAx>
        <c:axId val="-212273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3345064"/>
        <c:crosses val="autoZero"/>
        <c:crossBetween val="midCat"/>
      </c:valAx>
      <c:valAx>
        <c:axId val="-21233450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22736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 B-A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 Repeat'!$W$202:$W$207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'Amlodipine and Atorv Repeat'!$X$202:$X$207</c:f>
              <c:numCache>
                <c:formatCode>0.00</c:formatCode>
                <c:ptCount val="6"/>
                <c:pt idx="0">
                  <c:v>0</c:v>
                </c:pt>
                <c:pt idx="1">
                  <c:v>0.10034535987466593</c:v>
                </c:pt>
                <c:pt idx="2">
                  <c:v>0.20742691917795594</c:v>
                </c:pt>
                <c:pt idx="3">
                  <c:v>0.37715887936595704</c:v>
                </c:pt>
                <c:pt idx="4">
                  <c:v>0.69326227997419598</c:v>
                </c:pt>
                <c:pt idx="5">
                  <c:v>1.1308932356464843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AC-4B90-852B-89ECE4C9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3094808"/>
        <c:axId val="-2043133400"/>
      </c:scatterChart>
      <c:valAx>
        <c:axId val="-2043094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3133400"/>
        <c:crosses val="autoZero"/>
        <c:crossBetween val="midCat"/>
      </c:valAx>
      <c:valAx>
        <c:axId val="-20431334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43094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B-A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DMEM'!$C$47:$C$51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'Amlodipine DMEM'!$H$47:$H$51</c:f>
              <c:numCache>
                <c:formatCode>General</c:formatCode>
                <c:ptCount val="5"/>
                <c:pt idx="0">
                  <c:v>1.9546866666666667</c:v>
                </c:pt>
                <c:pt idx="1">
                  <c:v>5.0398733333333334</c:v>
                </c:pt>
                <c:pt idx="2">
                  <c:v>11.095863333333332</c:v>
                </c:pt>
                <c:pt idx="3">
                  <c:v>14.739623333333334</c:v>
                </c:pt>
                <c:pt idx="4">
                  <c:v>19.620976666666667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58-4FCE-89C5-C5D232D3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876776"/>
        <c:axId val="-2038871320"/>
      </c:scatterChart>
      <c:valAx>
        <c:axId val="-203887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38871320"/>
        <c:crosses val="autoZero"/>
        <c:crossBetween val="midCat"/>
      </c:valAx>
      <c:valAx>
        <c:axId val="-20388713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38876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A-B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Amlodipine!$U$23:$U$28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Amlodipine!$V$23:$V$28</c:f>
              <c:numCache>
                <c:formatCode>0.00</c:formatCode>
                <c:ptCount val="6"/>
                <c:pt idx="0">
                  <c:v>0</c:v>
                </c:pt>
                <c:pt idx="1">
                  <c:v>0.47474259313581707</c:v>
                </c:pt>
                <c:pt idx="2">
                  <c:v>0.79169443629607894</c:v>
                </c:pt>
                <c:pt idx="3">
                  <c:v>1.3180680062579448</c:v>
                </c:pt>
                <c:pt idx="4">
                  <c:v>1.728401779603012</c:v>
                </c:pt>
                <c:pt idx="5">
                  <c:v>2.0703604185000493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05-453D-8EAC-E3170E28C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392392"/>
        <c:axId val="-2123409288"/>
      </c:scatterChart>
      <c:valAx>
        <c:axId val="-2123392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3409288"/>
        <c:crosses val="autoZero"/>
        <c:crossBetween val="midCat"/>
      </c:valAx>
      <c:valAx>
        <c:axId val="-21234092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23392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B-A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Amlodipine!$U$78:$U$83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Amlodipine!$V$78:$V$83</c:f>
              <c:numCache>
                <c:formatCode>0.00</c:formatCode>
                <c:ptCount val="6"/>
                <c:pt idx="0">
                  <c:v>0</c:v>
                </c:pt>
                <c:pt idx="1">
                  <c:v>0.33005573481959521</c:v>
                </c:pt>
                <c:pt idx="2">
                  <c:v>0.64100528014080382</c:v>
                </c:pt>
                <c:pt idx="3">
                  <c:v>1.1780799843551384</c:v>
                </c:pt>
                <c:pt idx="4">
                  <c:v>1.5042481666177767</c:v>
                </c:pt>
                <c:pt idx="5">
                  <c:v>2.1417190769531631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E-420A-B131-8E363C909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411992"/>
        <c:axId val="-2123421832"/>
      </c:scatterChart>
      <c:valAx>
        <c:axId val="-212341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3421832"/>
        <c:crosses val="autoZero"/>
        <c:crossBetween val="midCat"/>
      </c:valAx>
      <c:valAx>
        <c:axId val="-21234218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23411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 A-B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Atorv!$U$23:$U$28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Atorv!$V$23:$V$28</c:f>
              <c:numCache>
                <c:formatCode>0.00</c:formatCode>
                <c:ptCount val="6"/>
                <c:pt idx="0">
                  <c:v>0</c:v>
                </c:pt>
                <c:pt idx="1">
                  <c:v>0.18367648889249666</c:v>
                </c:pt>
                <c:pt idx="2">
                  <c:v>0.50732267951042198</c:v>
                </c:pt>
                <c:pt idx="3">
                  <c:v>0.78264170793083865</c:v>
                </c:pt>
                <c:pt idx="4">
                  <c:v>0.87947613713234307</c:v>
                </c:pt>
                <c:pt idx="5">
                  <c:v>1.0393690577337626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56-498F-BDB8-55C54BFE5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3116872"/>
        <c:axId val="-2043111336"/>
      </c:scatterChart>
      <c:valAx>
        <c:axId val="-204311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3111336"/>
        <c:crosses val="autoZero"/>
        <c:crossBetween val="midCat"/>
      </c:valAx>
      <c:valAx>
        <c:axId val="-20431113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43116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 B-A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Atorv!$U$78:$U$83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Atorv!$V$78:$V$83</c:f>
              <c:numCache>
                <c:formatCode>0.00</c:formatCode>
                <c:ptCount val="6"/>
                <c:pt idx="0">
                  <c:v>0</c:v>
                </c:pt>
                <c:pt idx="1">
                  <c:v>0.36783180452958847</c:v>
                </c:pt>
                <c:pt idx="2">
                  <c:v>0.86041828792019548</c:v>
                </c:pt>
                <c:pt idx="3">
                  <c:v>1.4880340936764347</c:v>
                </c:pt>
                <c:pt idx="4">
                  <c:v>2.394857952034346</c:v>
                </c:pt>
                <c:pt idx="5">
                  <c:v>3.3294130295568718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54-4FB4-B3FE-7546D4D18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3141160"/>
        <c:axId val="-2043162344"/>
      </c:scatterChart>
      <c:valAx>
        <c:axId val="-204314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3162344"/>
        <c:crosses val="autoZero"/>
        <c:crossBetween val="midCat"/>
      </c:valAx>
      <c:valAx>
        <c:axId val="-204316234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43141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A-B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Atorv'!$C$37:$C$41</c:f>
              <c:numCache>
                <c:formatCode>0.0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</c:numCache>
            </c:numRef>
          </c:xVal>
          <c:yVal>
            <c:numRef>
              <c:f>'Amlodipine and Atorv'!$G$37:$G$41</c:f>
              <c:numCache>
                <c:formatCode>0.00</c:formatCode>
                <c:ptCount val="5"/>
                <c:pt idx="0">
                  <c:v>0</c:v>
                </c:pt>
                <c:pt idx="1">
                  <c:v>0.38987391637897972</c:v>
                </c:pt>
                <c:pt idx="2">
                  <c:v>0.95687348420918039</c:v>
                </c:pt>
                <c:pt idx="3">
                  <c:v>1.4249938780207134</c:v>
                </c:pt>
                <c:pt idx="4">
                  <c:v>1.5992515944252652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88-41BC-8015-4A86C50F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967736"/>
        <c:axId val="-2038994328"/>
      </c:scatterChart>
      <c:valAx>
        <c:axId val="-203896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-2038994328"/>
        <c:crosses val="autoZero"/>
        <c:crossBetween val="midCat"/>
      </c:valAx>
      <c:valAx>
        <c:axId val="-203899432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38967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 B-A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Atorv'!$E$84:$E$88</c:f>
              <c:numCache>
                <c:formatCode>0.0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</c:numCache>
            </c:numRef>
          </c:xVal>
          <c:yVal>
            <c:numRef>
              <c:f>'Amlodipine and Atorv'!$H$84:$H$88</c:f>
              <c:numCache>
                <c:formatCode>0.00</c:formatCode>
                <c:ptCount val="5"/>
                <c:pt idx="0">
                  <c:v>0</c:v>
                </c:pt>
                <c:pt idx="1">
                  <c:v>0.51018642117376301</c:v>
                </c:pt>
                <c:pt idx="2">
                  <c:v>1.0651887993862676</c:v>
                </c:pt>
                <c:pt idx="3">
                  <c:v>1.9516045518475897</c:v>
                </c:pt>
                <c:pt idx="4">
                  <c:v>3.0262242679964197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62-488C-91DC-780C7F4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12296"/>
        <c:axId val="-2039018696"/>
      </c:scatterChart>
      <c:valAx>
        <c:axId val="-2039012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-2039018696"/>
        <c:crosses val="autoZero"/>
        <c:crossBetween val="midCat"/>
      </c:valAx>
      <c:valAx>
        <c:axId val="-20390186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39012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 A-B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and Atorv'!$C$161:$C$165</c:f>
              <c:numCache>
                <c:formatCode>0.0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</c:numCache>
            </c:numRef>
          </c:xVal>
          <c:yVal>
            <c:numRef>
              <c:f>'Amlodipine and Atorv'!$G$161:$G$165</c:f>
              <c:numCache>
                <c:formatCode>0.00</c:formatCode>
                <c:ptCount val="5"/>
                <c:pt idx="0">
                  <c:v>0</c:v>
                </c:pt>
                <c:pt idx="1">
                  <c:v>2.6724944705557092E-2</c:v>
                </c:pt>
                <c:pt idx="2">
                  <c:v>9.9122836604921202E-2</c:v>
                </c:pt>
                <c:pt idx="3">
                  <c:v>0.24050524375633581</c:v>
                </c:pt>
                <c:pt idx="4">
                  <c:v>0.36349688047184592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79-4697-8CF2-2D0274D3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53928"/>
        <c:axId val="-2039055768"/>
      </c:scatterChart>
      <c:valAx>
        <c:axId val="-203905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-2039055768"/>
        <c:crosses val="autoZero"/>
        <c:crossBetween val="midCat"/>
      </c:valAx>
      <c:valAx>
        <c:axId val="-20390557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39053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566270</xdr:colOff>
      <xdr:row>2</xdr:row>
      <xdr:rowOff>60512</xdr:rowOff>
    </xdr:from>
    <xdr:to>
      <xdr:col>19</xdr:col>
      <xdr:colOff>680570</xdr:colOff>
      <xdr:row>22</xdr:row>
      <xdr:rowOff>127748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194235</xdr:colOff>
      <xdr:row>44</xdr:row>
      <xdr:rowOff>74705</xdr:rowOff>
    </xdr:from>
    <xdr:to>
      <xdr:col>19</xdr:col>
      <xdr:colOff>308535</xdr:colOff>
      <xdr:row>64</xdr:row>
      <xdr:rowOff>141940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130678</xdr:colOff>
      <xdr:row>1</xdr:row>
      <xdr:rowOff>147859</xdr:rowOff>
    </xdr:from>
    <xdr:to>
      <xdr:col>18</xdr:col>
      <xdr:colOff>820617</xdr:colOff>
      <xdr:row>19</xdr:row>
      <xdr:rowOff>117231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194235</xdr:colOff>
      <xdr:row>57</xdr:row>
      <xdr:rowOff>74705</xdr:rowOff>
    </xdr:from>
    <xdr:to>
      <xdr:col>19</xdr:col>
      <xdr:colOff>308535</xdr:colOff>
      <xdr:row>77</xdr:row>
      <xdr:rowOff>141940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776942</xdr:colOff>
      <xdr:row>20</xdr:row>
      <xdr:rowOff>134470</xdr:rowOff>
    </xdr:from>
    <xdr:to>
      <xdr:col>16</xdr:col>
      <xdr:colOff>433294</xdr:colOff>
      <xdr:row>30</xdr:row>
      <xdr:rowOff>165744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7295" y="5184588"/>
          <a:ext cx="6230470" cy="19736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423753</xdr:colOff>
      <xdr:row>1</xdr:row>
      <xdr:rowOff>128321</xdr:rowOff>
    </xdr:from>
    <xdr:to>
      <xdr:col>19</xdr:col>
      <xdr:colOff>390771</xdr:colOff>
      <xdr:row>19</xdr:row>
      <xdr:rowOff>19538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194235</xdr:colOff>
      <xdr:row>57</xdr:row>
      <xdr:rowOff>74705</xdr:rowOff>
    </xdr:from>
    <xdr:to>
      <xdr:col>19</xdr:col>
      <xdr:colOff>308535</xdr:colOff>
      <xdr:row>77</xdr:row>
      <xdr:rowOff>141940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776942</xdr:colOff>
      <xdr:row>20</xdr:row>
      <xdr:rowOff>134470</xdr:rowOff>
    </xdr:from>
    <xdr:to>
      <xdr:col>16</xdr:col>
      <xdr:colOff>316065</xdr:colOff>
      <xdr:row>30</xdr:row>
      <xdr:rowOff>165744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20742" y="3944470"/>
          <a:ext cx="6247652" cy="19362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1059327</xdr:colOff>
      <xdr:row>0</xdr:row>
      <xdr:rowOff>149412</xdr:rowOff>
    </xdr:from>
    <xdr:to>
      <xdr:col>19</xdr:col>
      <xdr:colOff>97863</xdr:colOff>
      <xdr:row>18</xdr:row>
      <xdr:rowOff>14941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194235</xdr:colOff>
      <xdr:row>53</xdr:row>
      <xdr:rowOff>74705</xdr:rowOff>
    </xdr:from>
    <xdr:to>
      <xdr:col>19</xdr:col>
      <xdr:colOff>308535</xdr:colOff>
      <xdr:row>71</xdr:row>
      <xdr:rowOff>141940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776942</xdr:colOff>
      <xdr:row>19</xdr:row>
      <xdr:rowOff>134470</xdr:rowOff>
    </xdr:from>
    <xdr:to>
      <xdr:col>16</xdr:col>
      <xdr:colOff>433295</xdr:colOff>
      <xdr:row>29</xdr:row>
      <xdr:rowOff>165744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20742" y="3944470"/>
          <a:ext cx="6247652" cy="1936274"/>
        </a:xfrm>
        <a:prstGeom prst="rect">
          <a:avLst/>
        </a:prstGeom>
      </xdr:spPr>
    </xdr:pic>
    <xdr:clientData/>
  </xdr:twoCellAnchor>
  <xdr:twoCellAnchor>
    <xdr:from>
      <xdr:col>11</xdr:col>
      <xdr:colOff>1059327</xdr:colOff>
      <xdr:row>124</xdr:row>
      <xdr:rowOff>149412</xdr:rowOff>
    </xdr:from>
    <xdr:to>
      <xdr:col>19</xdr:col>
      <xdr:colOff>97863</xdr:colOff>
      <xdr:row>142</xdr:row>
      <xdr:rowOff>14941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194235</xdr:colOff>
      <xdr:row>177</xdr:row>
      <xdr:rowOff>74705</xdr:rowOff>
    </xdr:from>
    <xdr:to>
      <xdr:col>19</xdr:col>
      <xdr:colOff>308535</xdr:colOff>
      <xdr:row>195</xdr:row>
      <xdr:rowOff>141940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776942</xdr:colOff>
      <xdr:row>143</xdr:row>
      <xdr:rowOff>134470</xdr:rowOff>
    </xdr:from>
    <xdr:to>
      <xdr:col>16</xdr:col>
      <xdr:colOff>433295</xdr:colOff>
      <xdr:row>153</xdr:row>
      <xdr:rowOff>165744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7295" y="3824941"/>
          <a:ext cx="6230470" cy="19736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1059327</xdr:colOff>
      <xdr:row>0</xdr:row>
      <xdr:rowOff>149412</xdr:rowOff>
    </xdr:from>
    <xdr:to>
      <xdr:col>19</xdr:col>
      <xdr:colOff>97863</xdr:colOff>
      <xdr:row>18</xdr:row>
      <xdr:rowOff>14941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194235</xdr:colOff>
      <xdr:row>55</xdr:row>
      <xdr:rowOff>74705</xdr:rowOff>
    </xdr:from>
    <xdr:to>
      <xdr:col>19</xdr:col>
      <xdr:colOff>308535</xdr:colOff>
      <xdr:row>74</xdr:row>
      <xdr:rowOff>141940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776942</xdr:colOff>
      <xdr:row>19</xdr:row>
      <xdr:rowOff>134470</xdr:rowOff>
    </xdr:from>
    <xdr:to>
      <xdr:col>16</xdr:col>
      <xdr:colOff>316065</xdr:colOff>
      <xdr:row>29</xdr:row>
      <xdr:rowOff>165744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62042" y="3753970"/>
          <a:ext cx="6247653" cy="1936274"/>
        </a:xfrm>
        <a:prstGeom prst="rect">
          <a:avLst/>
        </a:prstGeom>
      </xdr:spPr>
    </xdr:pic>
    <xdr:clientData/>
  </xdr:twoCellAnchor>
  <xdr:twoCellAnchor>
    <xdr:from>
      <xdr:col>11</xdr:col>
      <xdr:colOff>1059327</xdr:colOff>
      <xdr:row>128</xdr:row>
      <xdr:rowOff>149412</xdr:rowOff>
    </xdr:from>
    <xdr:to>
      <xdr:col>19</xdr:col>
      <xdr:colOff>97863</xdr:colOff>
      <xdr:row>147</xdr:row>
      <xdr:rowOff>14941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194235</xdr:colOff>
      <xdr:row>185</xdr:row>
      <xdr:rowOff>74705</xdr:rowOff>
    </xdr:from>
    <xdr:to>
      <xdr:col>19</xdr:col>
      <xdr:colOff>308535</xdr:colOff>
      <xdr:row>205</xdr:row>
      <xdr:rowOff>141940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776942</xdr:colOff>
      <xdr:row>148</xdr:row>
      <xdr:rowOff>134470</xdr:rowOff>
    </xdr:from>
    <xdr:to>
      <xdr:col>16</xdr:col>
      <xdr:colOff>316065</xdr:colOff>
      <xdr:row>158</xdr:row>
      <xdr:rowOff>165744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62042" y="27375970"/>
          <a:ext cx="6247653" cy="193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2"/>
  <sheetViews>
    <sheetView zoomScale="85" zoomScaleNormal="85" zoomScalePageLayoutView="85" workbookViewId="0">
      <selection activeCell="E47" sqref="E47:G51"/>
    </sheetView>
  </sheetViews>
  <sheetFormatPr defaultColWidth="11" defaultRowHeight="15.6" x14ac:dyDescent="0.3"/>
  <sheetData>
    <row r="3" spans="3:11" x14ac:dyDescent="0.3">
      <c r="C3" t="s">
        <v>6</v>
      </c>
      <c r="D3" t="s">
        <v>8</v>
      </c>
    </row>
    <row r="5" spans="3:11" x14ac:dyDescent="0.3">
      <c r="C5" t="s">
        <v>7</v>
      </c>
      <c r="D5" t="s">
        <v>1</v>
      </c>
      <c r="E5" t="s">
        <v>0</v>
      </c>
    </row>
    <row r="6" spans="3:11" x14ac:dyDescent="0.3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</row>
    <row r="7" spans="3:11" x14ac:dyDescent="0.3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3:11" x14ac:dyDescent="0.3">
      <c r="C8">
        <v>15</v>
      </c>
      <c r="E8">
        <v>0.48022199999999998</v>
      </c>
      <c r="F8">
        <v>0.111683</v>
      </c>
      <c r="G8">
        <v>0.466169</v>
      </c>
      <c r="H8">
        <f>AVERAGE(E8:G8)</f>
        <v>0.3526913333333333</v>
      </c>
      <c r="I8">
        <f>STDEV(E8:G8)</f>
        <v>0.20883757864506408</v>
      </c>
      <c r="J8">
        <f>I8/H8</f>
        <v>0.59212563198338897</v>
      </c>
      <c r="K8">
        <f>J8*100</f>
        <v>59.212563198338898</v>
      </c>
    </row>
    <row r="9" spans="3:11" x14ac:dyDescent="0.3">
      <c r="C9">
        <v>30</v>
      </c>
      <c r="E9">
        <v>0.93332300000000001</v>
      </c>
      <c r="F9">
        <v>0.411991</v>
      </c>
      <c r="G9">
        <v>1.1983299999999999</v>
      </c>
      <c r="H9">
        <f t="shared" ref="H9:H19" si="0">AVERAGE(E9:G9)</f>
        <v>0.84788133333333338</v>
      </c>
      <c r="I9">
        <f t="shared" ref="I9:I17" si="1">STDEV(E9:G9)</f>
        <v>0.40007182421701876</v>
      </c>
      <c r="J9">
        <f t="shared" ref="J9:J17" si="2">I9/H9</f>
        <v>0.47184884073834871</v>
      </c>
      <c r="K9">
        <f t="shared" ref="K9:K17" si="3">J9*100</f>
        <v>47.184884073834873</v>
      </c>
    </row>
    <row r="10" spans="3:11" x14ac:dyDescent="0.3">
      <c r="C10">
        <v>60</v>
      </c>
      <c r="E10">
        <v>2.45689</v>
      </c>
      <c r="F10">
        <v>2.2062599999999999</v>
      </c>
      <c r="G10">
        <v>3.5135100000000001</v>
      </c>
      <c r="H10">
        <f t="shared" si="0"/>
        <v>2.7255533333333335</v>
      </c>
      <c r="I10">
        <f t="shared" si="1"/>
        <v>0.69380157871925652</v>
      </c>
      <c r="J10">
        <f t="shared" si="2"/>
        <v>0.25455439460094581</v>
      </c>
      <c r="K10">
        <f t="shared" si="3"/>
        <v>25.455439460094581</v>
      </c>
    </row>
    <row r="11" spans="3:11" x14ac:dyDescent="0.3">
      <c r="C11">
        <v>90</v>
      </c>
      <c r="E11">
        <v>4.3517999999999999</v>
      </c>
      <c r="F11">
        <v>3.3532600000000001</v>
      </c>
      <c r="G11">
        <v>5.3703500000000002</v>
      </c>
      <c r="H11">
        <f t="shared" si="0"/>
        <v>4.3584699999999996</v>
      </c>
      <c r="I11">
        <f t="shared" si="1"/>
        <v>1.0085615418505722</v>
      </c>
      <c r="J11">
        <f t="shared" si="2"/>
        <v>0.23140265777912256</v>
      </c>
      <c r="K11">
        <f t="shared" si="3"/>
        <v>23.140265777912255</v>
      </c>
    </row>
    <row r="12" spans="3:11" x14ac:dyDescent="0.3">
      <c r="C12">
        <v>120</v>
      </c>
      <c r="E12">
        <v>5.8965100000000001</v>
      </c>
      <c r="F12">
        <v>5.2620800000000001</v>
      </c>
      <c r="G12">
        <v>6.4621300000000002</v>
      </c>
      <c r="H12">
        <f t="shared" si="0"/>
        <v>5.8735733333333329</v>
      </c>
      <c r="I12">
        <f t="shared" si="1"/>
        <v>0.60035370293963652</v>
      </c>
      <c r="J12">
        <f t="shared" si="2"/>
        <v>0.10221268533969723</v>
      </c>
      <c r="K12">
        <f t="shared" si="3"/>
        <v>10.221268533969722</v>
      </c>
    </row>
    <row r="14" spans="3:11" x14ac:dyDescent="0.3">
      <c r="C14">
        <v>15</v>
      </c>
      <c r="E14">
        <f>E8*7.5</f>
        <v>3.6016649999999997</v>
      </c>
      <c r="F14">
        <f t="shared" ref="F14:G14" si="4">F8*7.5</f>
        <v>0.83762250000000005</v>
      </c>
      <c r="G14">
        <f t="shared" si="4"/>
        <v>3.4962675000000001</v>
      </c>
      <c r="H14">
        <f t="shared" si="0"/>
        <v>2.6451850000000001</v>
      </c>
      <c r="I14">
        <f t="shared" si="1"/>
        <v>1.566281839837981</v>
      </c>
      <c r="J14">
        <f t="shared" si="2"/>
        <v>0.59212563198338908</v>
      </c>
      <c r="K14">
        <f t="shared" si="3"/>
        <v>59.212563198338906</v>
      </c>
    </row>
    <row r="15" spans="3:11" x14ac:dyDescent="0.3">
      <c r="C15">
        <v>30</v>
      </c>
      <c r="E15">
        <f t="shared" ref="E15:G15" si="5">E9*7.5</f>
        <v>6.9999225000000003</v>
      </c>
      <c r="F15">
        <f t="shared" si="5"/>
        <v>3.0899324999999997</v>
      </c>
      <c r="G15">
        <f t="shared" si="5"/>
        <v>8.9874749999999999</v>
      </c>
      <c r="H15">
        <f t="shared" si="0"/>
        <v>6.3591100000000003</v>
      </c>
      <c r="I15">
        <f t="shared" si="1"/>
        <v>3.0005386816276429</v>
      </c>
      <c r="J15">
        <f t="shared" si="2"/>
        <v>0.47184884073834904</v>
      </c>
      <c r="K15">
        <f t="shared" si="3"/>
        <v>47.184884073834901</v>
      </c>
    </row>
    <row r="16" spans="3:11" x14ac:dyDescent="0.3">
      <c r="C16">
        <v>60</v>
      </c>
      <c r="E16">
        <f t="shared" ref="E16:G16" si="6">E10*7.5</f>
        <v>18.426674999999999</v>
      </c>
      <c r="F16">
        <f t="shared" si="6"/>
        <v>16.546949999999999</v>
      </c>
      <c r="G16">
        <f t="shared" si="6"/>
        <v>26.351325000000003</v>
      </c>
      <c r="H16">
        <f t="shared" si="0"/>
        <v>20.441649999999999</v>
      </c>
      <c r="I16">
        <f t="shared" si="1"/>
        <v>5.2035118403944143</v>
      </c>
      <c r="J16">
        <f t="shared" si="2"/>
        <v>0.25455439460094537</v>
      </c>
      <c r="K16">
        <f t="shared" si="3"/>
        <v>25.455439460094535</v>
      </c>
    </row>
    <row r="17" spans="2:11" x14ac:dyDescent="0.3">
      <c r="C17">
        <v>90</v>
      </c>
      <c r="E17">
        <f t="shared" ref="E17:G17" si="7">E11*7.5</f>
        <v>32.638500000000001</v>
      </c>
      <c r="F17">
        <f t="shared" si="7"/>
        <v>25.149450000000002</v>
      </c>
      <c r="G17">
        <f t="shared" si="7"/>
        <v>40.277625</v>
      </c>
      <c r="H17">
        <f t="shared" si="0"/>
        <v>32.688524999999998</v>
      </c>
      <c r="I17">
        <f t="shared" si="1"/>
        <v>7.5642115638792973</v>
      </c>
      <c r="J17">
        <f t="shared" si="2"/>
        <v>0.23140265777912272</v>
      </c>
      <c r="K17">
        <f t="shared" si="3"/>
        <v>23.140265777912273</v>
      </c>
    </row>
    <row r="18" spans="2:11" x14ac:dyDescent="0.3">
      <c r="C18">
        <v>120</v>
      </c>
      <c r="E18">
        <f t="shared" ref="E18:G18" si="8">E12*7.5</f>
        <v>44.223824999999998</v>
      </c>
      <c r="F18">
        <f t="shared" si="8"/>
        <v>39.465600000000002</v>
      </c>
      <c r="G18">
        <f t="shared" si="8"/>
        <v>48.465975</v>
      </c>
      <c r="H18">
        <f t="shared" si="0"/>
        <v>44.051799999999993</v>
      </c>
      <c r="I18">
        <f>STDEV(E18:G18)</f>
        <v>4.5026527720472727</v>
      </c>
      <c r="J18">
        <f>I18/H18</f>
        <v>0.10221268533969721</v>
      </c>
      <c r="K18">
        <f>J18*100</f>
        <v>10.221268533969722</v>
      </c>
    </row>
    <row r="19" spans="2:11" x14ac:dyDescent="0.3">
      <c r="H19" t="e">
        <f t="shared" si="0"/>
        <v>#DIV/0!</v>
      </c>
      <c r="I19" t="e">
        <f t="shared" ref="I19" si="9">STDEV(E19:G19)</f>
        <v>#DIV/0!</v>
      </c>
      <c r="J19" t="e">
        <f t="shared" ref="J19" si="10">I19/H19</f>
        <v>#DIV/0!</v>
      </c>
      <c r="K19" t="e">
        <f t="shared" ref="K19" si="11">J19*100</f>
        <v>#DIV/0!</v>
      </c>
    </row>
    <row r="21" spans="2:11" x14ac:dyDescent="0.3">
      <c r="B21" t="s">
        <v>12</v>
      </c>
    </row>
    <row r="23" spans="2:11" x14ac:dyDescent="0.3">
      <c r="J23" s="26"/>
      <c r="K23" s="26"/>
    </row>
    <row r="24" spans="2:11" x14ac:dyDescent="0.3">
      <c r="C24" t="s">
        <v>7</v>
      </c>
      <c r="E24">
        <v>1</v>
      </c>
      <c r="F24">
        <v>2</v>
      </c>
      <c r="G24">
        <v>3</v>
      </c>
      <c r="H24" t="s">
        <v>2</v>
      </c>
      <c r="I24" t="s">
        <v>3</v>
      </c>
    </row>
    <row r="25" spans="2:11" x14ac:dyDescent="0.3">
      <c r="C25">
        <f t="shared" ref="C25:C30" si="12">C7</f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2:11" x14ac:dyDescent="0.3">
      <c r="C26">
        <f t="shared" si="12"/>
        <v>15</v>
      </c>
      <c r="E26">
        <f>(E14+1.7384)/13.636</f>
        <v>0.39161520973892633</v>
      </c>
      <c r="F26">
        <f t="shared" ref="F26:G26" si="13">(F14+1.7384)/13.636</f>
        <v>0.18891335435611617</v>
      </c>
      <c r="G26">
        <f t="shared" si="13"/>
        <v>0.38388585362276334</v>
      </c>
      <c r="H26">
        <f>AVERAGE(E26:G26)</f>
        <v>0.32147147257260195</v>
      </c>
      <c r="I26">
        <f>STDEV(E26:G26)</f>
        <v>0.11486373128761965</v>
      </c>
    </row>
    <row r="27" spans="2:11" x14ac:dyDescent="0.3">
      <c r="C27">
        <f t="shared" si="12"/>
        <v>30</v>
      </c>
      <c r="E27">
        <f t="shared" ref="E27:G27" si="14">(E15+1.7384)/13.636</f>
        <v>0.6408274053974774</v>
      </c>
      <c r="F27">
        <f t="shared" si="14"/>
        <v>0.35408715899090648</v>
      </c>
      <c r="G27">
        <f t="shared" si="14"/>
        <v>0.78658514227046061</v>
      </c>
      <c r="H27">
        <f t="shared" ref="H27:H36" si="15">AVERAGE(E27:G27)</f>
        <v>0.5938332355529482</v>
      </c>
      <c r="I27">
        <f t="shared" ref="I27:I36" si="16">STDEV(E27:G27)</f>
        <v>0.2200453711959256</v>
      </c>
    </row>
    <row r="28" spans="2:11" x14ac:dyDescent="0.3">
      <c r="C28">
        <f t="shared" si="12"/>
        <v>60</v>
      </c>
      <c r="E28">
        <f t="shared" ref="E28:G28" si="17">(E16+1.7384)/13.636</f>
        <v>1.4788116016427104</v>
      </c>
      <c r="F28">
        <f t="shared" si="17"/>
        <v>1.3409614256380169</v>
      </c>
      <c r="G28">
        <f t="shared" si="17"/>
        <v>2.059968099149311</v>
      </c>
      <c r="H28">
        <f t="shared" si="15"/>
        <v>1.6265803754766797</v>
      </c>
      <c r="I28">
        <f t="shared" si="16"/>
        <v>0.38160104432343861</v>
      </c>
    </row>
    <row r="29" spans="2:11" x14ac:dyDescent="0.3">
      <c r="C29">
        <f t="shared" si="12"/>
        <v>90</v>
      </c>
      <c r="E29">
        <f t="shared" ref="E29:G29" si="18">(E17+1.7384)/13.636</f>
        <v>2.5210398943971839</v>
      </c>
      <c r="F29">
        <f t="shared" si="18"/>
        <v>1.9718282487533003</v>
      </c>
      <c r="G29">
        <f t="shared" si="18"/>
        <v>3.0812573335288942</v>
      </c>
      <c r="H29">
        <f t="shared" si="15"/>
        <v>2.5247084922264595</v>
      </c>
      <c r="I29">
        <f t="shared" si="16"/>
        <v>0.55472364064823199</v>
      </c>
    </row>
    <row r="30" spans="2:11" x14ac:dyDescent="0.3">
      <c r="C30">
        <f t="shared" si="12"/>
        <v>120</v>
      </c>
      <c r="E30">
        <f t="shared" ref="E30:G30" si="19">(E18+1.7384)/13.636</f>
        <v>3.3706530507480199</v>
      </c>
      <c r="F30">
        <f t="shared" si="19"/>
        <v>3.0217072455265477</v>
      </c>
      <c r="G30">
        <f t="shared" si="19"/>
        <v>3.6817523467292461</v>
      </c>
      <c r="H30">
        <f t="shared" si="15"/>
        <v>3.3580375476679376</v>
      </c>
      <c r="I30">
        <f t="shared" si="16"/>
        <v>0.33020334203925433</v>
      </c>
    </row>
    <row r="31" spans="2:11" x14ac:dyDescent="0.3">
      <c r="C31">
        <f t="shared" ref="C31:C36" si="20">C14</f>
        <v>15</v>
      </c>
      <c r="H31" t="e">
        <f t="shared" si="15"/>
        <v>#DIV/0!</v>
      </c>
      <c r="I31" t="e">
        <f t="shared" si="16"/>
        <v>#DIV/0!</v>
      </c>
    </row>
    <row r="32" spans="2:11" x14ac:dyDescent="0.3">
      <c r="C32">
        <f t="shared" si="20"/>
        <v>30</v>
      </c>
      <c r="H32" t="e">
        <f t="shared" si="15"/>
        <v>#DIV/0!</v>
      </c>
      <c r="I32" t="e">
        <f t="shared" si="16"/>
        <v>#DIV/0!</v>
      </c>
    </row>
    <row r="33" spans="3:11" x14ac:dyDescent="0.3">
      <c r="C33">
        <f t="shared" si="20"/>
        <v>60</v>
      </c>
      <c r="H33" t="e">
        <f t="shared" si="15"/>
        <v>#DIV/0!</v>
      </c>
      <c r="I33" t="e">
        <f t="shared" si="16"/>
        <v>#DIV/0!</v>
      </c>
    </row>
    <row r="34" spans="3:11" x14ac:dyDescent="0.3">
      <c r="C34">
        <f t="shared" si="20"/>
        <v>90</v>
      </c>
      <c r="H34" t="e">
        <f t="shared" si="15"/>
        <v>#DIV/0!</v>
      </c>
      <c r="I34" t="e">
        <f t="shared" si="16"/>
        <v>#DIV/0!</v>
      </c>
    </row>
    <row r="35" spans="3:11" x14ac:dyDescent="0.3">
      <c r="C35">
        <f t="shared" si="20"/>
        <v>120</v>
      </c>
      <c r="H35" t="e">
        <f t="shared" si="15"/>
        <v>#DIV/0!</v>
      </c>
      <c r="I35" t="e">
        <f t="shared" si="16"/>
        <v>#DIV/0!</v>
      </c>
    </row>
    <row r="36" spans="3:11" x14ac:dyDescent="0.3">
      <c r="C36">
        <f t="shared" si="20"/>
        <v>0</v>
      </c>
      <c r="H36" t="e">
        <f t="shared" si="15"/>
        <v>#DIV/0!</v>
      </c>
      <c r="I36" t="e">
        <f t="shared" si="16"/>
        <v>#DIV/0!</v>
      </c>
    </row>
    <row r="41" spans="3:11" x14ac:dyDescent="0.3">
      <c r="C41" s="2"/>
      <c r="D41" s="2"/>
      <c r="E41" s="2"/>
      <c r="F41" s="2"/>
      <c r="G41" s="2"/>
      <c r="H41" s="2"/>
      <c r="I41" s="2"/>
    </row>
    <row r="42" spans="3:11" x14ac:dyDescent="0.3">
      <c r="C42" t="s">
        <v>6</v>
      </c>
      <c r="D42" t="s">
        <v>9</v>
      </c>
    </row>
    <row r="44" spans="3:11" x14ac:dyDescent="0.3">
      <c r="C44" t="s">
        <v>7</v>
      </c>
      <c r="D44" t="s">
        <v>1</v>
      </c>
      <c r="E44" t="s">
        <v>0</v>
      </c>
    </row>
    <row r="45" spans="3:11" x14ac:dyDescent="0.3">
      <c r="E45">
        <v>1</v>
      </c>
      <c r="F45">
        <v>2</v>
      </c>
      <c r="G45">
        <v>3</v>
      </c>
      <c r="H45" t="s">
        <v>2</v>
      </c>
      <c r="I45" t="s">
        <v>3</v>
      </c>
      <c r="J45" t="s">
        <v>4</v>
      </c>
      <c r="K45" t="s">
        <v>5</v>
      </c>
    </row>
    <row r="46" spans="3:11" x14ac:dyDescent="0.3">
      <c r="C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3:11" x14ac:dyDescent="0.3">
      <c r="C47">
        <v>15</v>
      </c>
      <c r="E47">
        <v>1.89154</v>
      </c>
      <c r="F47">
        <v>2.2198500000000001</v>
      </c>
      <c r="G47">
        <v>1.75267</v>
      </c>
      <c r="H47">
        <f>AVERAGE(E47:G47)</f>
        <v>1.9546866666666667</v>
      </c>
      <c r="I47">
        <f>STDEV(E47:G47)</f>
        <v>0.23990605293183698</v>
      </c>
      <c r="J47">
        <f>I47/H47</f>
        <v>0.12273376445594195</v>
      </c>
      <c r="K47">
        <f>J47*100</f>
        <v>12.273376445594195</v>
      </c>
    </row>
    <row r="48" spans="3:11" x14ac:dyDescent="0.3">
      <c r="C48">
        <v>30</v>
      </c>
      <c r="E48">
        <v>4.63551</v>
      </c>
      <c r="F48">
        <v>4.9977</v>
      </c>
      <c r="G48">
        <v>5.4864100000000002</v>
      </c>
      <c r="H48">
        <f t="shared" ref="H48:H51" si="21">AVERAGE(E48:G48)</f>
        <v>5.0398733333333334</v>
      </c>
      <c r="I48">
        <f t="shared" ref="I48:I51" si="22">STDEV(E48:G48)</f>
        <v>0.42701480657388619</v>
      </c>
      <c r="J48">
        <f t="shared" ref="J48:J51" si="23">I48/H48</f>
        <v>8.4727289424050237E-2</v>
      </c>
      <c r="K48">
        <f t="shared" ref="K48:K51" si="24">J48*100</f>
        <v>8.4727289424050234</v>
      </c>
    </row>
    <row r="49" spans="3:11" x14ac:dyDescent="0.3">
      <c r="C49">
        <v>60</v>
      </c>
      <c r="E49">
        <v>11.392749999999999</v>
      </c>
      <c r="F49">
        <v>9.9399099999999994</v>
      </c>
      <c r="G49">
        <v>11.954929999999999</v>
      </c>
      <c r="H49">
        <f t="shared" si="21"/>
        <v>11.095863333333332</v>
      </c>
      <c r="I49">
        <f t="shared" si="22"/>
        <v>1.0397993410910267</v>
      </c>
      <c r="J49">
        <f t="shared" si="23"/>
        <v>9.3710539671783999E-2</v>
      </c>
      <c r="K49">
        <f t="shared" si="24"/>
        <v>9.3710539671783994</v>
      </c>
    </row>
    <row r="50" spans="3:11" x14ac:dyDescent="0.3">
      <c r="C50">
        <v>90</v>
      </c>
      <c r="E50">
        <v>14.28471</v>
      </c>
      <c r="F50">
        <v>14.54707</v>
      </c>
      <c r="G50">
        <v>15.387090000000001</v>
      </c>
      <c r="H50">
        <f t="shared" si="21"/>
        <v>14.739623333333334</v>
      </c>
      <c r="I50">
        <f t="shared" si="22"/>
        <v>0.57586283586747766</v>
      </c>
      <c r="J50">
        <f t="shared" si="23"/>
        <v>3.9069033369745383E-2</v>
      </c>
      <c r="K50">
        <f t="shared" si="24"/>
        <v>3.9069033369745383</v>
      </c>
    </row>
    <row r="51" spans="3:11" x14ac:dyDescent="0.3">
      <c r="C51">
        <v>120</v>
      </c>
      <c r="E51">
        <v>18.764230000000001</v>
      </c>
      <c r="F51">
        <v>18.771000000000001</v>
      </c>
      <c r="G51">
        <v>21.3277</v>
      </c>
      <c r="H51">
        <f t="shared" si="21"/>
        <v>19.620976666666667</v>
      </c>
      <c r="I51">
        <f t="shared" si="22"/>
        <v>1.4780696399809219</v>
      </c>
      <c r="J51">
        <f t="shared" si="23"/>
        <v>7.5331094118875244E-2</v>
      </c>
      <c r="K51">
        <f t="shared" si="24"/>
        <v>7.5331094118875246</v>
      </c>
    </row>
    <row r="53" spans="3:11" x14ac:dyDescent="0.3">
      <c r="C53">
        <v>15</v>
      </c>
      <c r="H53" t="e">
        <f t="shared" ref="H53:H58" si="25">AVERAGE(E53:G53)</f>
        <v>#DIV/0!</v>
      </c>
      <c r="I53" t="e">
        <f t="shared" ref="I53:I56" si="26">STDEV(E53:G53)</f>
        <v>#DIV/0!</v>
      </c>
      <c r="J53" t="e">
        <f t="shared" ref="J53:J56" si="27">I53/H53</f>
        <v>#DIV/0!</v>
      </c>
      <c r="K53" t="e">
        <f t="shared" ref="K53:K56" si="28">J53*100</f>
        <v>#DIV/0!</v>
      </c>
    </row>
    <row r="54" spans="3:11" x14ac:dyDescent="0.3">
      <c r="C54">
        <v>30</v>
      </c>
      <c r="H54" t="e">
        <f t="shared" si="25"/>
        <v>#DIV/0!</v>
      </c>
      <c r="I54" t="e">
        <f t="shared" si="26"/>
        <v>#DIV/0!</v>
      </c>
      <c r="J54" t="e">
        <f t="shared" si="27"/>
        <v>#DIV/0!</v>
      </c>
      <c r="K54" t="e">
        <f t="shared" si="28"/>
        <v>#DIV/0!</v>
      </c>
    </row>
    <row r="55" spans="3:11" x14ac:dyDescent="0.3">
      <c r="C55">
        <v>60</v>
      </c>
      <c r="H55" t="e">
        <f t="shared" si="25"/>
        <v>#DIV/0!</v>
      </c>
      <c r="I55" t="e">
        <f t="shared" si="26"/>
        <v>#DIV/0!</v>
      </c>
      <c r="J55" t="e">
        <f t="shared" si="27"/>
        <v>#DIV/0!</v>
      </c>
      <c r="K55" t="e">
        <f t="shared" si="28"/>
        <v>#DIV/0!</v>
      </c>
    </row>
    <row r="56" spans="3:11" x14ac:dyDescent="0.3">
      <c r="C56">
        <v>90</v>
      </c>
      <c r="H56" t="e">
        <f t="shared" si="25"/>
        <v>#DIV/0!</v>
      </c>
      <c r="I56" t="e">
        <f t="shared" si="26"/>
        <v>#DIV/0!</v>
      </c>
      <c r="J56" t="e">
        <f t="shared" si="27"/>
        <v>#DIV/0!</v>
      </c>
      <c r="K56" t="e">
        <f t="shared" si="28"/>
        <v>#DIV/0!</v>
      </c>
    </row>
    <row r="57" spans="3:11" x14ac:dyDescent="0.3">
      <c r="C57">
        <v>120</v>
      </c>
      <c r="H57" t="e">
        <f t="shared" si="25"/>
        <v>#DIV/0!</v>
      </c>
      <c r="I57" t="e">
        <f>STDEV(E57:G57)</f>
        <v>#DIV/0!</v>
      </c>
      <c r="J57" t="e">
        <f>I57/H57</f>
        <v>#DIV/0!</v>
      </c>
      <c r="K57" t="e">
        <f>J57*100</f>
        <v>#DIV/0!</v>
      </c>
    </row>
    <row r="58" spans="3:11" x14ac:dyDescent="0.3">
      <c r="H58" t="e">
        <f t="shared" si="25"/>
        <v>#DIV/0!</v>
      </c>
      <c r="I58" t="e">
        <f t="shared" ref="I58" si="29">STDEV(E58:G58)</f>
        <v>#DIV/0!</v>
      </c>
      <c r="J58" t="e">
        <f t="shared" ref="J58" si="30">I58/H58</f>
        <v>#DIV/0!</v>
      </c>
      <c r="K58" t="e">
        <f t="shared" ref="K58" si="31">J58*100</f>
        <v>#DIV/0!</v>
      </c>
    </row>
    <row r="62" spans="3:11" x14ac:dyDescent="0.3">
      <c r="J62" s="26"/>
      <c r="K62" s="26"/>
    </row>
    <row r="63" spans="3:11" x14ac:dyDescent="0.3">
      <c r="C63" t="s">
        <v>7</v>
      </c>
      <c r="E63">
        <v>1</v>
      </c>
      <c r="F63">
        <v>2</v>
      </c>
      <c r="G63">
        <v>3</v>
      </c>
      <c r="H63" t="s">
        <v>2</v>
      </c>
      <c r="I63" t="s">
        <v>3</v>
      </c>
    </row>
    <row r="64" spans="3:11" x14ac:dyDescent="0.3">
      <c r="C64">
        <f t="shared" ref="C64:C69" si="32">C46</f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3:9" x14ac:dyDescent="0.3">
      <c r="C65">
        <f t="shared" si="32"/>
        <v>15</v>
      </c>
      <c r="H65" t="e">
        <f>AVERAGE(E65:G65)</f>
        <v>#DIV/0!</v>
      </c>
      <c r="I65" t="e">
        <f>STDEV(E65:G65)</f>
        <v>#DIV/0!</v>
      </c>
    </row>
    <row r="66" spans="3:9" x14ac:dyDescent="0.3">
      <c r="C66">
        <f t="shared" si="32"/>
        <v>30</v>
      </c>
      <c r="H66" t="e">
        <f t="shared" ref="H66:H75" si="33">AVERAGE(E66:G66)</f>
        <v>#DIV/0!</v>
      </c>
      <c r="I66" t="e">
        <f t="shared" ref="I66:I75" si="34">STDEV(E66:G66)</f>
        <v>#DIV/0!</v>
      </c>
    </row>
    <row r="67" spans="3:9" x14ac:dyDescent="0.3">
      <c r="C67">
        <f t="shared" si="32"/>
        <v>60</v>
      </c>
      <c r="H67" t="e">
        <f t="shared" si="33"/>
        <v>#DIV/0!</v>
      </c>
      <c r="I67" t="e">
        <f t="shared" si="34"/>
        <v>#DIV/0!</v>
      </c>
    </row>
    <row r="68" spans="3:9" x14ac:dyDescent="0.3">
      <c r="C68">
        <f t="shared" si="32"/>
        <v>90</v>
      </c>
      <c r="H68" t="e">
        <f t="shared" si="33"/>
        <v>#DIV/0!</v>
      </c>
      <c r="I68" t="e">
        <f t="shared" si="34"/>
        <v>#DIV/0!</v>
      </c>
    </row>
    <row r="69" spans="3:9" x14ac:dyDescent="0.3">
      <c r="C69">
        <f t="shared" si="32"/>
        <v>120</v>
      </c>
      <c r="H69" t="e">
        <f t="shared" si="33"/>
        <v>#DIV/0!</v>
      </c>
      <c r="I69" t="e">
        <f t="shared" si="34"/>
        <v>#DIV/0!</v>
      </c>
    </row>
    <row r="70" spans="3:9" x14ac:dyDescent="0.3">
      <c r="C70">
        <f t="shared" ref="C70:C75" si="35">C53</f>
        <v>15</v>
      </c>
      <c r="H70" t="e">
        <f t="shared" si="33"/>
        <v>#DIV/0!</v>
      </c>
      <c r="I70" t="e">
        <f t="shared" si="34"/>
        <v>#DIV/0!</v>
      </c>
    </row>
    <row r="71" spans="3:9" x14ac:dyDescent="0.3">
      <c r="C71">
        <f t="shared" si="35"/>
        <v>30</v>
      </c>
      <c r="H71" t="e">
        <f t="shared" si="33"/>
        <v>#DIV/0!</v>
      </c>
      <c r="I71" t="e">
        <f t="shared" si="34"/>
        <v>#DIV/0!</v>
      </c>
    </row>
    <row r="72" spans="3:9" x14ac:dyDescent="0.3">
      <c r="C72">
        <f t="shared" si="35"/>
        <v>60</v>
      </c>
      <c r="H72" t="e">
        <f t="shared" si="33"/>
        <v>#DIV/0!</v>
      </c>
      <c r="I72" t="e">
        <f t="shared" si="34"/>
        <v>#DIV/0!</v>
      </c>
    </row>
    <row r="73" spans="3:9" x14ac:dyDescent="0.3">
      <c r="C73">
        <f t="shared" si="35"/>
        <v>90</v>
      </c>
      <c r="H73" t="e">
        <f t="shared" si="33"/>
        <v>#DIV/0!</v>
      </c>
      <c r="I73" t="e">
        <f t="shared" si="34"/>
        <v>#DIV/0!</v>
      </c>
    </row>
    <row r="74" spans="3:9" x14ac:dyDescent="0.3">
      <c r="C74">
        <f t="shared" si="35"/>
        <v>120</v>
      </c>
      <c r="H74" t="e">
        <f t="shared" si="33"/>
        <v>#DIV/0!</v>
      </c>
      <c r="I74" t="e">
        <f t="shared" si="34"/>
        <v>#DIV/0!</v>
      </c>
    </row>
    <row r="75" spans="3:9" x14ac:dyDescent="0.3">
      <c r="C75">
        <f t="shared" si="35"/>
        <v>0</v>
      </c>
      <c r="H75" t="e">
        <f t="shared" si="33"/>
        <v>#DIV/0!</v>
      </c>
      <c r="I75" t="e">
        <f t="shared" si="34"/>
        <v>#DIV/0!</v>
      </c>
    </row>
    <row r="82" spans="3:9" x14ac:dyDescent="0.3">
      <c r="C82" t="s">
        <v>10</v>
      </c>
    </row>
    <row r="83" spans="3:9" x14ac:dyDescent="0.3">
      <c r="C83">
        <v>0</v>
      </c>
      <c r="E83">
        <v>61.417610000000003</v>
      </c>
      <c r="F83">
        <v>65.011340000000004</v>
      </c>
      <c r="G83">
        <v>63.479799999999997</v>
      </c>
      <c r="H83">
        <f t="shared" ref="H83:H90" si="36">AVERAGE(E83:G83)</f>
        <v>63.302916666666668</v>
      </c>
      <c r="I83">
        <f t="shared" ref="I83:I90" si="37">STDEV(E83:G83)</f>
        <v>1.8033828249801354</v>
      </c>
    </row>
    <row r="84" spans="3:9" x14ac:dyDescent="0.3">
      <c r="C84">
        <v>120</v>
      </c>
      <c r="E84">
        <v>18.64059</v>
      </c>
      <c r="F84">
        <v>21.712119999999999</v>
      </c>
      <c r="G84">
        <v>21.646699999999999</v>
      </c>
      <c r="H84">
        <f t="shared" si="36"/>
        <v>20.66647</v>
      </c>
      <c r="I84">
        <f t="shared" si="37"/>
        <v>1.7547684391109839</v>
      </c>
    </row>
    <row r="88" spans="3:9" x14ac:dyDescent="0.3">
      <c r="C88" t="s">
        <v>11</v>
      </c>
    </row>
    <row r="89" spans="3:9" x14ac:dyDescent="0.3">
      <c r="C89">
        <v>0</v>
      </c>
      <c r="E89">
        <v>72.987120000000004</v>
      </c>
      <c r="F89">
        <v>72.046909999999997</v>
      </c>
      <c r="G89">
        <v>72.506659999999997</v>
      </c>
      <c r="H89">
        <f t="shared" si="36"/>
        <v>72.513563333333323</v>
      </c>
      <c r="I89">
        <f t="shared" si="37"/>
        <v>0.47014301338352027</v>
      </c>
    </row>
    <row r="90" spans="3:9" x14ac:dyDescent="0.3">
      <c r="C90">
        <v>120</v>
      </c>
      <c r="E90">
        <v>52.275039999999997</v>
      </c>
      <c r="F90">
        <v>53.208069999999999</v>
      </c>
      <c r="G90">
        <v>55.446480000000001</v>
      </c>
      <c r="H90">
        <f t="shared" si="36"/>
        <v>53.643196666666661</v>
      </c>
      <c r="I90">
        <f t="shared" si="37"/>
        <v>1.6298801583040821</v>
      </c>
    </row>
    <row r="92" spans="3:9" x14ac:dyDescent="0.3">
      <c r="F92" s="1"/>
    </row>
  </sheetData>
  <mergeCells count="2">
    <mergeCell ref="J23:K23"/>
    <mergeCell ref="J62:K6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20"/>
  <sheetViews>
    <sheetView topLeftCell="A42" zoomScale="65" zoomScaleNormal="65" zoomScalePageLayoutView="65" workbookViewId="0">
      <selection activeCell="V70" sqref="V70:X70"/>
    </sheetView>
  </sheetViews>
  <sheetFormatPr defaultColWidth="11" defaultRowHeight="15.6" x14ac:dyDescent="0.3"/>
  <cols>
    <col min="11" max="13" width="14.19921875" bestFit="1" customWidth="1"/>
    <col min="22" max="25" width="12.5" bestFit="1" customWidth="1"/>
    <col min="26" max="26" width="11.5" bestFit="1" customWidth="1"/>
  </cols>
  <sheetData>
    <row r="3" spans="2:26" x14ac:dyDescent="0.3">
      <c r="C3" t="s">
        <v>6</v>
      </c>
      <c r="D3" t="s">
        <v>13</v>
      </c>
    </row>
    <row r="5" spans="2:26" x14ac:dyDescent="0.3">
      <c r="C5" t="s">
        <v>7</v>
      </c>
      <c r="D5" t="s">
        <v>1</v>
      </c>
      <c r="E5" t="s">
        <v>0</v>
      </c>
    </row>
    <row r="6" spans="2:26" x14ac:dyDescent="0.3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</row>
    <row r="7" spans="2:26" x14ac:dyDescent="0.3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2:26" x14ac:dyDescent="0.3">
      <c r="C8">
        <v>15</v>
      </c>
      <c r="E8">
        <v>0.64713900000000002</v>
      </c>
      <c r="F8">
        <v>0.446492</v>
      </c>
      <c r="G8">
        <v>0.16475899999999999</v>
      </c>
      <c r="H8">
        <f>AVERAGE(E8:G8)</f>
        <v>0.4194633333333333</v>
      </c>
      <c r="I8">
        <f>STDEV(E8:G8)</f>
        <v>0.24232318856505117</v>
      </c>
      <c r="J8">
        <f>I8/H8</f>
        <v>0.57769814262283836</v>
      </c>
      <c r="K8">
        <f>J8*100</f>
        <v>57.769814262283838</v>
      </c>
    </row>
    <row r="9" spans="2:26" x14ac:dyDescent="0.3">
      <c r="C9">
        <v>30</v>
      </c>
      <c r="E9">
        <v>2.1312500000000001</v>
      </c>
      <c r="F9">
        <v>1.27681</v>
      </c>
      <c r="G9">
        <v>1.30914</v>
      </c>
      <c r="H9">
        <f t="shared" ref="H9:H12" si="0">AVERAGE(E9:G9)</f>
        <v>1.5724</v>
      </c>
      <c r="I9">
        <f t="shared" ref="I9:I12" si="1">STDEV(E9:G9)</f>
        <v>0.48424817924283403</v>
      </c>
      <c r="J9">
        <f t="shared" ref="J9:J12" si="2">I9/H9</f>
        <v>0.30796755230401551</v>
      </c>
      <c r="K9">
        <f t="shared" ref="K9:K12" si="3">J9*100</f>
        <v>30.796755230401551</v>
      </c>
    </row>
    <row r="10" spans="2:26" x14ac:dyDescent="0.3">
      <c r="C10">
        <v>60</v>
      </c>
      <c r="E10">
        <v>3.1214</v>
      </c>
      <c r="F10">
        <v>3.3605999999999998</v>
      </c>
      <c r="G10">
        <v>4.0885100000000003</v>
      </c>
      <c r="H10">
        <f t="shared" si="0"/>
        <v>3.5235033333333328</v>
      </c>
      <c r="I10">
        <f t="shared" si="1"/>
        <v>0.50371476058712161</v>
      </c>
      <c r="J10">
        <f t="shared" si="2"/>
        <v>0.14295850264191273</v>
      </c>
      <c r="K10">
        <f t="shared" si="3"/>
        <v>14.295850264191273</v>
      </c>
    </row>
    <row r="11" spans="2:26" x14ac:dyDescent="0.3">
      <c r="C11">
        <v>90</v>
      </c>
      <c r="E11">
        <v>5.0017399999999999</v>
      </c>
      <c r="F11">
        <v>3.9821900000000001</v>
      </c>
      <c r="G11">
        <v>5.0771300000000004</v>
      </c>
      <c r="H11">
        <f t="shared" si="0"/>
        <v>4.6870200000000004</v>
      </c>
      <c r="I11">
        <f t="shared" si="1"/>
        <v>0.61156349604925953</v>
      </c>
      <c r="J11">
        <f t="shared" si="2"/>
        <v>0.13048024033378552</v>
      </c>
      <c r="K11">
        <f t="shared" si="3"/>
        <v>13.048024033378553</v>
      </c>
    </row>
    <row r="12" spans="2:26" x14ac:dyDescent="0.3">
      <c r="C12">
        <v>120</v>
      </c>
      <c r="E12">
        <v>5.9226599999999996</v>
      </c>
      <c r="F12">
        <v>5.0040199999999997</v>
      </c>
      <c r="G12">
        <v>5.2271599999999996</v>
      </c>
      <c r="H12">
        <f t="shared" si="0"/>
        <v>5.3846133333333333</v>
      </c>
      <c r="I12">
        <f t="shared" si="1"/>
        <v>0.47913309897494377</v>
      </c>
      <c r="J12">
        <f t="shared" si="2"/>
        <v>8.8981895136068662E-2</v>
      </c>
      <c r="K12">
        <f t="shared" si="3"/>
        <v>8.8981895136068658</v>
      </c>
    </row>
    <row r="14" spans="2:26" x14ac:dyDescent="0.3">
      <c r="V14" s="26" t="s">
        <v>13</v>
      </c>
      <c r="W14" s="26"/>
      <c r="X14" s="26"/>
      <c r="Y14" s="26"/>
      <c r="Z14" s="26"/>
    </row>
    <row r="15" spans="2:26" x14ac:dyDescent="0.3">
      <c r="B15" t="s">
        <v>12</v>
      </c>
      <c r="V15">
        <v>1</v>
      </c>
      <c r="W15">
        <v>2</v>
      </c>
      <c r="X15">
        <v>3</v>
      </c>
      <c r="Y15" t="s">
        <v>2</v>
      </c>
      <c r="Z15" t="s">
        <v>3</v>
      </c>
    </row>
    <row r="16" spans="2:26" x14ac:dyDescent="0.3">
      <c r="U16" s="4" t="s">
        <v>41</v>
      </c>
      <c r="V16">
        <f>F46*(1/(1.12*L107))</f>
        <v>8.6209833538628701E-6</v>
      </c>
      <c r="W16">
        <f>O46*(1/(1.12*L107))</f>
        <v>7.7312783388843447E-6</v>
      </c>
      <c r="X16">
        <f>X46*(1/(1.12*L107))</f>
        <v>8.4944877234525877E-6</v>
      </c>
      <c r="Y16" s="13">
        <f>AVERAGE(V16:X16)</f>
        <v>8.2822498053999336E-6</v>
      </c>
      <c r="Z16">
        <f>STDEV(V16:X16)</f>
        <v>4.8132884166022943E-7</v>
      </c>
    </row>
    <row r="17" spans="1:23" x14ac:dyDescent="0.3">
      <c r="J17" s="26"/>
      <c r="K17" s="26"/>
    </row>
    <row r="18" spans="1:23" x14ac:dyDescent="0.3">
      <c r="C18" t="s">
        <v>7</v>
      </c>
      <c r="E18">
        <v>1</v>
      </c>
      <c r="F18">
        <v>2</v>
      </c>
      <c r="G18">
        <v>3</v>
      </c>
      <c r="H18" t="s">
        <v>2</v>
      </c>
      <c r="I18" t="s">
        <v>3</v>
      </c>
    </row>
    <row r="19" spans="1:23" x14ac:dyDescent="0.3">
      <c r="C19">
        <f t="shared" ref="C19:C24" si="4">C7</f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23" x14ac:dyDescent="0.3">
      <c r="C20">
        <f t="shared" si="4"/>
        <v>15</v>
      </c>
      <c r="E20">
        <f>(E8+1.7384)/13.636</f>
        <v>0.17494419184511589</v>
      </c>
      <c r="F20">
        <f t="shared" ref="F20:G20" si="5">(F8+1.7384)/13.636</f>
        <v>0.16022968612496336</v>
      </c>
      <c r="G20">
        <f t="shared" si="5"/>
        <v>0.13956871516573777</v>
      </c>
      <c r="H20">
        <f>AVERAGE(E20:G20)</f>
        <v>0.15824753104527234</v>
      </c>
      <c r="I20">
        <f>STDEV(E20:G20)</f>
        <v>1.7770841050531769E-2</v>
      </c>
    </row>
    <row r="21" spans="1:23" x14ac:dyDescent="0.3">
      <c r="C21">
        <f t="shared" si="4"/>
        <v>30</v>
      </c>
      <c r="E21">
        <f t="shared" ref="E21:G21" si="6">(E9+1.7384)/13.636</f>
        <v>0.28378190085068938</v>
      </c>
      <c r="F21">
        <f t="shared" si="6"/>
        <v>0.22112129656790847</v>
      </c>
      <c r="G21">
        <f t="shared" si="6"/>
        <v>0.22349222645937225</v>
      </c>
      <c r="H21">
        <f t="shared" ref="H21:H31" si="7">AVERAGE(E21:G21)</f>
        <v>0.24279847462599002</v>
      </c>
      <c r="I21">
        <f t="shared" ref="I21:I31" si="8">STDEV(E21:G21)</f>
        <v>3.5512480143945147E-2</v>
      </c>
      <c r="V21" s="26" t="s">
        <v>29</v>
      </c>
      <c r="W21" s="26"/>
    </row>
    <row r="22" spans="1:23" x14ac:dyDescent="0.3">
      <c r="C22">
        <f t="shared" si="4"/>
        <v>60</v>
      </c>
      <c r="E22">
        <f t="shared" ref="E22:G22" si="9">(E10+1.7384)/13.636</f>
        <v>0.35639483719565856</v>
      </c>
      <c r="F22">
        <f t="shared" si="9"/>
        <v>0.37393663831035495</v>
      </c>
      <c r="G22">
        <f t="shared" si="9"/>
        <v>0.42731812848342621</v>
      </c>
      <c r="H22">
        <f t="shared" si="7"/>
        <v>0.38588320132981324</v>
      </c>
      <c r="I22">
        <f t="shared" si="8"/>
        <v>3.6940067511521964E-2</v>
      </c>
      <c r="U22" s="4" t="s">
        <v>24</v>
      </c>
      <c r="V22" t="s">
        <v>45</v>
      </c>
      <c r="W22" t="s">
        <v>3</v>
      </c>
    </row>
    <row r="23" spans="1:23" x14ac:dyDescent="0.3">
      <c r="C23">
        <f t="shared" si="4"/>
        <v>90</v>
      </c>
      <c r="E23">
        <f t="shared" ref="E23:G23" si="10">(E11+1.7384)/13.636</f>
        <v>0.49429011440305082</v>
      </c>
      <c r="F23">
        <f t="shared" si="10"/>
        <v>0.419521120563215</v>
      </c>
      <c r="G23">
        <f t="shared" si="10"/>
        <v>0.49981886183631574</v>
      </c>
      <c r="H23">
        <f t="shared" si="7"/>
        <v>0.47121003226752717</v>
      </c>
      <c r="I23">
        <f t="shared" si="8"/>
        <v>4.4849185688564559E-2</v>
      </c>
      <c r="U23">
        <v>0</v>
      </c>
      <c r="V23" s="21">
        <f>AVERAGE(G40,P40,Y40)</f>
        <v>0</v>
      </c>
      <c r="W23" s="21">
        <f>STDEV(G40,P40,Y40)</f>
        <v>0</v>
      </c>
    </row>
    <row r="24" spans="1:23" x14ac:dyDescent="0.3">
      <c r="C24">
        <f t="shared" si="4"/>
        <v>120</v>
      </c>
      <c r="E24">
        <f t="shared" ref="E24:G24" si="11">(E12+1.7384)/13.636</f>
        <v>0.56182604869463182</v>
      </c>
      <c r="F24">
        <f t="shared" si="11"/>
        <v>0.4944573188618363</v>
      </c>
      <c r="G24">
        <f t="shared" si="11"/>
        <v>0.5108213552361397</v>
      </c>
      <c r="H24">
        <f t="shared" si="7"/>
        <v>0.5223682409308692</v>
      </c>
      <c r="I24">
        <f t="shared" si="8"/>
        <v>3.5137364254542641E-2</v>
      </c>
      <c r="U24">
        <v>15</v>
      </c>
      <c r="V24" s="21">
        <f t="shared" ref="V24:V28" si="12">AVERAGE(G41,P41,Y41)</f>
        <v>0.47474259313581707</v>
      </c>
      <c r="W24" s="21">
        <f t="shared" ref="W24:W28" si="13">STDEV(G41,P41,Y41)</f>
        <v>5.3312523151595306E-2</v>
      </c>
    </row>
    <row r="25" spans="1:23" x14ac:dyDescent="0.3">
      <c r="U25">
        <v>30</v>
      </c>
      <c r="V25" s="21">
        <f t="shared" si="12"/>
        <v>0.79169443629607894</v>
      </c>
      <c r="W25" s="21">
        <f t="shared" si="13"/>
        <v>0.11226343434622929</v>
      </c>
    </row>
    <row r="26" spans="1:23" x14ac:dyDescent="0.3">
      <c r="A26" t="s">
        <v>42</v>
      </c>
      <c r="C26">
        <f>C19</f>
        <v>0</v>
      </c>
      <c r="E26">
        <v>0</v>
      </c>
      <c r="F26">
        <v>0</v>
      </c>
      <c r="G26">
        <v>0</v>
      </c>
      <c r="H26">
        <f t="shared" si="7"/>
        <v>0</v>
      </c>
      <c r="I26">
        <f t="shared" si="8"/>
        <v>0</v>
      </c>
      <c r="U26">
        <v>60</v>
      </c>
      <c r="V26" s="21">
        <f t="shared" si="12"/>
        <v>1.3180680062579448</v>
      </c>
      <c r="W26" s="21">
        <f t="shared" si="13"/>
        <v>9.5112160531828874E-2</v>
      </c>
    </row>
    <row r="27" spans="1:23" x14ac:dyDescent="0.3">
      <c r="C27">
        <f t="shared" ref="C27:C31" si="14">C20</f>
        <v>15</v>
      </c>
      <c r="E27">
        <f>E20*2</f>
        <v>0.34988838369023179</v>
      </c>
      <c r="F27">
        <f t="shared" ref="F27:G27" si="15">F20*2</f>
        <v>0.32045937224992671</v>
      </c>
      <c r="G27">
        <f t="shared" si="15"/>
        <v>0.27913743033147553</v>
      </c>
      <c r="H27">
        <f t="shared" si="7"/>
        <v>0.31649506209054468</v>
      </c>
      <c r="I27">
        <f t="shared" si="8"/>
        <v>3.5541682101063538E-2</v>
      </c>
      <c r="U27">
        <v>90</v>
      </c>
      <c r="V27" s="21">
        <f t="shared" si="12"/>
        <v>1.728401779603012</v>
      </c>
      <c r="W27" s="21">
        <f t="shared" si="13"/>
        <v>0.1452912036481544</v>
      </c>
    </row>
    <row r="28" spans="1:23" x14ac:dyDescent="0.3">
      <c r="C28">
        <f t="shared" si="14"/>
        <v>30</v>
      </c>
      <c r="E28">
        <f t="shared" ref="E28:G28" si="16">E21*2</f>
        <v>0.56756380170137877</v>
      </c>
      <c r="F28">
        <f t="shared" si="16"/>
        <v>0.44224259313581693</v>
      </c>
      <c r="G28">
        <f t="shared" si="16"/>
        <v>0.4469844529187445</v>
      </c>
      <c r="H28">
        <f t="shared" si="7"/>
        <v>0.48559694925198005</v>
      </c>
      <c r="I28">
        <f t="shared" si="8"/>
        <v>7.1024960287890293E-2</v>
      </c>
      <c r="U28">
        <v>120</v>
      </c>
      <c r="V28" s="21">
        <f t="shared" si="12"/>
        <v>2.0703604185000493</v>
      </c>
      <c r="W28" s="21">
        <f t="shared" si="13"/>
        <v>0.12936082429625118</v>
      </c>
    </row>
    <row r="29" spans="1:23" x14ac:dyDescent="0.3">
      <c r="C29">
        <f t="shared" si="14"/>
        <v>60</v>
      </c>
      <c r="E29">
        <f t="shared" ref="E29:G29" si="17">E22*2</f>
        <v>0.71278967439131713</v>
      </c>
      <c r="F29">
        <f t="shared" si="17"/>
        <v>0.7478732766207099</v>
      </c>
      <c r="G29">
        <f t="shared" si="17"/>
        <v>0.85463625696685241</v>
      </c>
      <c r="H29">
        <f t="shared" si="7"/>
        <v>0.77176640265962648</v>
      </c>
      <c r="I29">
        <f t="shared" si="8"/>
        <v>7.3880135023043927E-2</v>
      </c>
      <c r="V29" t="s">
        <v>46</v>
      </c>
      <c r="W29" s="21">
        <f>AVERAGE(F46,O46,X46)</f>
        <v>2.3590731777538756E-4</v>
      </c>
    </row>
    <row r="30" spans="1:23" x14ac:dyDescent="0.3">
      <c r="C30">
        <f t="shared" si="14"/>
        <v>90</v>
      </c>
      <c r="E30">
        <f t="shared" ref="E30:G30" si="18">E23*2</f>
        <v>0.98858022880610164</v>
      </c>
      <c r="F30">
        <f t="shared" si="18"/>
        <v>0.83904224112643</v>
      </c>
      <c r="G30">
        <f t="shared" si="18"/>
        <v>0.99963772367263148</v>
      </c>
      <c r="H30">
        <f t="shared" si="7"/>
        <v>0.94242006453505434</v>
      </c>
      <c r="I30">
        <f t="shared" si="8"/>
        <v>8.9698371377129119E-2</v>
      </c>
    </row>
    <row r="31" spans="1:23" x14ac:dyDescent="0.3">
      <c r="C31">
        <f t="shared" si="14"/>
        <v>120</v>
      </c>
      <c r="E31">
        <f t="shared" ref="E31:G31" si="19">E24*2</f>
        <v>1.1236520973892636</v>
      </c>
      <c r="F31">
        <f t="shared" si="19"/>
        <v>0.98891463772367261</v>
      </c>
      <c r="G31">
        <f t="shared" si="19"/>
        <v>1.0216427104722794</v>
      </c>
      <c r="H31">
        <f t="shared" si="7"/>
        <v>1.0447364818617384</v>
      </c>
      <c r="I31">
        <f t="shared" si="8"/>
        <v>7.0274728509085282E-2</v>
      </c>
    </row>
    <row r="35" spans="2:26" ht="16.2" x14ac:dyDescent="0.35">
      <c r="B35" s="4"/>
      <c r="C35" s="4" t="s">
        <v>18</v>
      </c>
      <c r="D35" s="4" t="s">
        <v>19</v>
      </c>
      <c r="K35" s="4"/>
      <c r="L35" s="4" t="s">
        <v>18</v>
      </c>
      <c r="M35" s="4" t="s">
        <v>19</v>
      </c>
      <c r="T35" s="4"/>
      <c r="U35" s="4" t="s">
        <v>18</v>
      </c>
      <c r="V35" s="4" t="s">
        <v>19</v>
      </c>
    </row>
    <row r="36" spans="2:26" x14ac:dyDescent="0.3">
      <c r="B36" s="5"/>
      <c r="C36" s="5">
        <v>1.5</v>
      </c>
      <c r="D36" s="5">
        <v>0.2</v>
      </c>
      <c r="E36" s="3"/>
      <c r="F36" s="3"/>
      <c r="G36" s="3"/>
      <c r="H36" s="3"/>
      <c r="K36" s="5"/>
      <c r="L36" s="5">
        <v>1.5</v>
      </c>
      <c r="M36" s="5">
        <v>0.2</v>
      </c>
      <c r="N36" s="20"/>
      <c r="O36" s="20"/>
      <c r="P36" s="20"/>
      <c r="Q36" s="20"/>
      <c r="T36" s="5"/>
      <c r="U36" s="5">
        <v>1.5</v>
      </c>
      <c r="V36" s="5">
        <v>0.2</v>
      </c>
      <c r="W36" s="20"/>
      <c r="X36" s="20"/>
      <c r="Y36" s="20"/>
      <c r="Z36" s="20"/>
    </row>
    <row r="37" spans="2:26" x14ac:dyDescent="0.3">
      <c r="B37" s="4"/>
      <c r="C37" s="6" t="s">
        <v>21</v>
      </c>
      <c r="D37" s="6" t="s">
        <v>21</v>
      </c>
      <c r="E37" s="3"/>
      <c r="F37" s="7"/>
      <c r="G37" s="3"/>
      <c r="H37" s="3"/>
      <c r="K37" s="4"/>
      <c r="L37" s="6" t="s">
        <v>21</v>
      </c>
      <c r="M37" s="6" t="s">
        <v>21</v>
      </c>
      <c r="N37" s="20"/>
      <c r="O37" s="7"/>
      <c r="P37" s="20"/>
      <c r="Q37" s="20"/>
      <c r="T37" s="4"/>
      <c r="U37" s="6" t="s">
        <v>21</v>
      </c>
      <c r="V37" s="6" t="s">
        <v>21</v>
      </c>
      <c r="W37" s="20"/>
      <c r="X37" s="7"/>
      <c r="Y37" s="20"/>
      <c r="Z37" s="20"/>
    </row>
    <row r="38" spans="2:26" x14ac:dyDescent="0.3">
      <c r="B38" s="3"/>
      <c r="C38" s="3"/>
      <c r="D38" s="4" t="s">
        <v>23</v>
      </c>
      <c r="E38" s="3"/>
      <c r="F38" s="3"/>
      <c r="G38" s="3"/>
      <c r="H38" s="3"/>
      <c r="K38" s="20"/>
      <c r="L38" s="20"/>
      <c r="M38" s="4" t="s">
        <v>23</v>
      </c>
      <c r="N38" s="20"/>
      <c r="O38" s="20"/>
      <c r="P38" s="20"/>
      <c r="Q38" s="20"/>
      <c r="T38" s="20"/>
      <c r="U38" s="20"/>
      <c r="V38" s="4" t="s">
        <v>23</v>
      </c>
      <c r="W38" s="20"/>
      <c r="X38" s="20"/>
      <c r="Y38" s="20"/>
      <c r="Z38" s="20"/>
    </row>
    <row r="39" spans="2:26" x14ac:dyDescent="0.3">
      <c r="B39" s="4" t="s">
        <v>24</v>
      </c>
      <c r="C39" s="4" t="s">
        <v>25</v>
      </c>
      <c r="D39" t="s">
        <v>26</v>
      </c>
      <c r="E39" s="4" t="s">
        <v>27</v>
      </c>
      <c r="F39" s="4" t="s">
        <v>28</v>
      </c>
      <c r="G39" s="4" t="s">
        <v>29</v>
      </c>
      <c r="H39" s="4" t="s">
        <v>30</v>
      </c>
      <c r="K39" s="4" t="s">
        <v>24</v>
      </c>
      <c r="L39" s="4" t="s">
        <v>25</v>
      </c>
      <c r="M39" t="s">
        <v>26</v>
      </c>
      <c r="N39" s="4" t="s">
        <v>27</v>
      </c>
      <c r="O39" s="4" t="s">
        <v>28</v>
      </c>
      <c r="P39" s="4" t="s">
        <v>29</v>
      </c>
      <c r="Q39" s="4" t="s">
        <v>30</v>
      </c>
      <c r="T39" s="4" t="s">
        <v>24</v>
      </c>
      <c r="U39" s="4" t="s">
        <v>25</v>
      </c>
      <c r="V39" t="s">
        <v>26</v>
      </c>
      <c r="W39" s="4" t="s">
        <v>27</v>
      </c>
      <c r="X39" s="4" t="s">
        <v>28</v>
      </c>
      <c r="Y39" s="4" t="s">
        <v>29</v>
      </c>
      <c r="Z39" s="4" t="s">
        <v>30</v>
      </c>
    </row>
    <row r="40" spans="2:26" x14ac:dyDescent="0.3">
      <c r="B40">
        <v>0</v>
      </c>
      <c r="C40" s="5">
        <v>0</v>
      </c>
      <c r="D40" s="8">
        <v>0</v>
      </c>
      <c r="E40" s="9">
        <v>0</v>
      </c>
      <c r="F40" s="10">
        <f>((1.5*D40)+(0.4*E40))/1.5</f>
        <v>0</v>
      </c>
      <c r="G40" s="10">
        <f>F40*1.5</f>
        <v>0</v>
      </c>
      <c r="H40" s="10">
        <v>0</v>
      </c>
      <c r="K40">
        <v>0</v>
      </c>
      <c r="L40" s="5">
        <v>0</v>
      </c>
      <c r="M40" s="8">
        <v>0</v>
      </c>
      <c r="N40" s="9">
        <v>0</v>
      </c>
      <c r="O40" s="10">
        <f>((1.5*M40)+(0.4*N40))/1.5</f>
        <v>0</v>
      </c>
      <c r="P40" s="10">
        <f>O40*1.5</f>
        <v>0</v>
      </c>
      <c r="Q40" s="10">
        <v>0</v>
      </c>
      <c r="T40">
        <v>0</v>
      </c>
      <c r="U40" s="5">
        <v>0</v>
      </c>
      <c r="V40" s="8">
        <v>0</v>
      </c>
      <c r="W40" s="9">
        <v>0</v>
      </c>
      <c r="X40" s="10">
        <f>((1.5*V40)+(0.4*W40))/1.5</f>
        <v>0</v>
      </c>
      <c r="Y40" s="10">
        <f>X40*1.5</f>
        <v>0</v>
      </c>
      <c r="Z40" s="10">
        <v>0</v>
      </c>
    </row>
    <row r="41" spans="2:26" x14ac:dyDescent="0.3">
      <c r="B41">
        <f>C41*60</f>
        <v>900</v>
      </c>
      <c r="C41" s="5">
        <v>15</v>
      </c>
      <c r="D41" s="8">
        <f>E27</f>
        <v>0.34988838369023179</v>
      </c>
      <c r="E41" s="9">
        <f>$D40+$E40</f>
        <v>0</v>
      </c>
      <c r="F41" s="10">
        <f>((1.5*D41)+(0.2*E41))/1.5</f>
        <v>0.34988838369023179</v>
      </c>
      <c r="G41" s="10">
        <f t="shared" ref="G41:G44" si="20">F41*1.5</f>
        <v>0.52483257553534768</v>
      </c>
      <c r="H41" s="10">
        <f>(G41/25.43168)*100</f>
        <v>2.0636960497118069</v>
      </c>
      <c r="K41">
        <f>L41*60</f>
        <v>900</v>
      </c>
      <c r="L41" s="5">
        <v>15</v>
      </c>
      <c r="M41" s="8">
        <f>F27</f>
        <v>0.32045937224992671</v>
      </c>
      <c r="N41" s="9">
        <f>$M40+$N40</f>
        <v>0</v>
      </c>
      <c r="O41" s="10">
        <f>((1.5*M41)+(0.2*N41))/1.5</f>
        <v>0.32045937224992671</v>
      </c>
      <c r="P41" s="10">
        <f t="shared" ref="P41:P44" si="21">O41*1.5</f>
        <v>0.48068905837489007</v>
      </c>
      <c r="Q41" s="10">
        <f>(P41/25.43168)*100</f>
        <v>1.8901191678052338</v>
      </c>
      <c r="T41">
        <f>U41*60</f>
        <v>900</v>
      </c>
      <c r="U41" s="5">
        <v>15</v>
      </c>
      <c r="V41" s="8">
        <f>G27</f>
        <v>0.27913743033147553</v>
      </c>
      <c r="W41" s="9">
        <f>$V40+$W40</f>
        <v>0</v>
      </c>
      <c r="X41" s="10">
        <f>((1.5*V41)+(0.2*W41))/1.5</f>
        <v>0.27913743033147553</v>
      </c>
      <c r="Y41" s="10">
        <f t="shared" ref="Y41:Y44" si="22">X41*1.5</f>
        <v>0.4187061454972133</v>
      </c>
      <c r="Z41" s="10">
        <f>(Y41/25.43168)*100</f>
        <v>1.6463959341152974</v>
      </c>
    </row>
    <row r="42" spans="2:26" x14ac:dyDescent="0.3">
      <c r="B42">
        <f t="shared" ref="B42:B45" si="23">C42*60</f>
        <v>1800</v>
      </c>
      <c r="C42" s="5">
        <v>30</v>
      </c>
      <c r="D42" s="8">
        <f t="shared" ref="D42:D45" si="24">E28</f>
        <v>0.56756380170137877</v>
      </c>
      <c r="E42" s="9">
        <f t="shared" ref="E42:E45" si="25">$D41+$E41</f>
        <v>0.34988838369023179</v>
      </c>
      <c r="F42" s="10">
        <f t="shared" ref="F42:F45" si="26">((1.5*D42)+(0.2*E42))/1.5</f>
        <v>0.61421558619340966</v>
      </c>
      <c r="G42" s="10">
        <f t="shared" si="20"/>
        <v>0.92132337929011454</v>
      </c>
      <c r="H42" s="10">
        <f>(G42/25.43168)*100</f>
        <v>3.6227389590074841</v>
      </c>
      <c r="K42">
        <f t="shared" ref="K42:K45" si="27">L42*60</f>
        <v>1800</v>
      </c>
      <c r="L42" s="5">
        <v>30</v>
      </c>
      <c r="M42" s="8">
        <f t="shared" ref="M42:M45" si="28">F28</f>
        <v>0.44224259313581693</v>
      </c>
      <c r="N42" s="9">
        <f t="shared" ref="N42:N45" si="29">$M41+$N41</f>
        <v>0.32045937224992671</v>
      </c>
      <c r="O42" s="10">
        <f t="shared" ref="O42:O45" si="30">((1.5*M42)+(0.2*N42))/1.5</f>
        <v>0.48497050943580716</v>
      </c>
      <c r="P42" s="10">
        <f t="shared" si="21"/>
        <v>0.72745576415371072</v>
      </c>
      <c r="Q42" s="10">
        <f>(P42/25.43168)*100</f>
        <v>2.8604314152809045</v>
      </c>
      <c r="T42">
        <f t="shared" ref="T42:T45" si="31">U42*60</f>
        <v>1800</v>
      </c>
      <c r="U42" s="5">
        <v>30</v>
      </c>
      <c r="V42" s="8">
        <f t="shared" ref="V42:V45" si="32">G28</f>
        <v>0.4469844529187445</v>
      </c>
      <c r="W42" s="9">
        <f t="shared" ref="W42:W45" si="33">$V41+$W41</f>
        <v>0.27913743033147553</v>
      </c>
      <c r="X42" s="10">
        <f t="shared" ref="X42:X45" si="34">((1.5*V42)+(0.2*W42))/1.5</f>
        <v>0.48420277696294117</v>
      </c>
      <c r="Y42" s="10">
        <f t="shared" si="22"/>
        <v>0.72630416544441179</v>
      </c>
      <c r="Z42" s="10">
        <f>(Y42/25.43168)*100</f>
        <v>2.8559032098721429</v>
      </c>
    </row>
    <row r="43" spans="2:26" x14ac:dyDescent="0.3">
      <c r="B43">
        <f t="shared" si="23"/>
        <v>3600</v>
      </c>
      <c r="C43" s="5">
        <v>60</v>
      </c>
      <c r="D43" s="8">
        <f t="shared" si="24"/>
        <v>0.71278967439131713</v>
      </c>
      <c r="E43" s="9">
        <f t="shared" si="25"/>
        <v>0.91745218539161055</v>
      </c>
      <c r="F43" s="10">
        <f t="shared" si="26"/>
        <v>0.83511663244353196</v>
      </c>
      <c r="G43" s="10">
        <f t="shared" si="20"/>
        <v>1.2526749486652979</v>
      </c>
      <c r="H43" s="10">
        <f>(G43/25.43168)*100</f>
        <v>4.9256476515326471</v>
      </c>
      <c r="K43">
        <f t="shared" si="27"/>
        <v>3600</v>
      </c>
      <c r="L43" s="5">
        <v>60</v>
      </c>
      <c r="M43" s="8">
        <f t="shared" si="28"/>
        <v>0.7478732766207099</v>
      </c>
      <c r="N43" s="9">
        <f t="shared" si="29"/>
        <v>0.76270196538574364</v>
      </c>
      <c r="O43" s="10">
        <f t="shared" si="30"/>
        <v>0.84956687200547576</v>
      </c>
      <c r="P43" s="10">
        <f t="shared" si="21"/>
        <v>1.2743503080082137</v>
      </c>
      <c r="Q43" s="10">
        <f>(P43/25.43168)*100</f>
        <v>5.0108774096253716</v>
      </c>
      <c r="T43">
        <f t="shared" si="31"/>
        <v>3600</v>
      </c>
      <c r="U43" s="5">
        <v>60</v>
      </c>
      <c r="V43" s="8">
        <f t="shared" si="32"/>
        <v>0.85463625696685241</v>
      </c>
      <c r="W43" s="9">
        <f t="shared" si="33"/>
        <v>0.72612188325022009</v>
      </c>
      <c r="X43" s="10">
        <f t="shared" si="34"/>
        <v>0.95145250806688175</v>
      </c>
      <c r="Y43" s="10">
        <f t="shared" si="22"/>
        <v>1.4271787621003227</v>
      </c>
      <c r="Z43" s="10">
        <f>(Y43/25.43168)*100</f>
        <v>5.6118147212465814</v>
      </c>
    </row>
    <row r="44" spans="2:26" x14ac:dyDescent="0.3">
      <c r="B44">
        <f t="shared" si="23"/>
        <v>5400</v>
      </c>
      <c r="C44" s="5">
        <v>90</v>
      </c>
      <c r="D44" s="8">
        <f t="shared" si="24"/>
        <v>0.98858022880610164</v>
      </c>
      <c r="E44" s="9">
        <f t="shared" si="25"/>
        <v>1.6302418597829278</v>
      </c>
      <c r="F44" s="10">
        <f t="shared" si="26"/>
        <v>1.2059458101104921</v>
      </c>
      <c r="G44" s="10">
        <f t="shared" si="20"/>
        <v>1.808918715165738</v>
      </c>
      <c r="H44" s="10">
        <f>(G44/25.43168)*100</f>
        <v>7.1128557577231941</v>
      </c>
      <c r="K44">
        <f t="shared" si="27"/>
        <v>5400</v>
      </c>
      <c r="L44" s="5">
        <v>90</v>
      </c>
      <c r="M44" s="8">
        <f t="shared" si="28"/>
        <v>0.83904224112643</v>
      </c>
      <c r="N44" s="9">
        <f t="shared" si="29"/>
        <v>1.5105752420064535</v>
      </c>
      <c r="O44" s="10">
        <f t="shared" si="30"/>
        <v>1.0404522733939572</v>
      </c>
      <c r="P44" s="10">
        <f t="shared" si="21"/>
        <v>1.5606784100909357</v>
      </c>
      <c r="Q44" s="10">
        <f>(P44/25.43168)*100</f>
        <v>6.1367491651787676</v>
      </c>
      <c r="T44">
        <f t="shared" si="31"/>
        <v>5400</v>
      </c>
      <c r="U44" s="5">
        <v>90</v>
      </c>
      <c r="V44" s="8">
        <f t="shared" si="32"/>
        <v>0.99963772367263148</v>
      </c>
      <c r="W44" s="9">
        <f t="shared" si="33"/>
        <v>1.5807581402170725</v>
      </c>
      <c r="X44" s="10">
        <f t="shared" si="34"/>
        <v>1.2104054757015745</v>
      </c>
      <c r="Y44" s="10">
        <f t="shared" si="22"/>
        <v>1.8156082135523617</v>
      </c>
      <c r="Z44" s="10">
        <f>(Y44/25.43168)*100</f>
        <v>7.1391595582846339</v>
      </c>
    </row>
    <row r="45" spans="2:26" x14ac:dyDescent="0.3">
      <c r="B45">
        <f t="shared" si="23"/>
        <v>7200</v>
      </c>
      <c r="C45" s="5">
        <v>120</v>
      </c>
      <c r="D45" s="8">
        <f t="shared" si="24"/>
        <v>1.1236520973892636</v>
      </c>
      <c r="E45" s="9">
        <f t="shared" si="25"/>
        <v>2.6188220885890292</v>
      </c>
      <c r="F45" s="10">
        <f t="shared" si="26"/>
        <v>1.4728283758678009</v>
      </c>
      <c r="G45" s="10">
        <f>F45*1.5</f>
        <v>2.2092425638017015</v>
      </c>
      <c r="H45" s="10">
        <f>(G45/25.43168)*100</f>
        <v>8.6869705965225315</v>
      </c>
      <c r="K45">
        <f t="shared" si="27"/>
        <v>7200</v>
      </c>
      <c r="L45" s="5">
        <v>120</v>
      </c>
      <c r="M45" s="8">
        <f t="shared" si="28"/>
        <v>0.98891463772367261</v>
      </c>
      <c r="N45" s="9">
        <f t="shared" si="29"/>
        <v>2.3496174831328833</v>
      </c>
      <c r="O45" s="10">
        <f t="shared" si="30"/>
        <v>1.302196968808057</v>
      </c>
      <c r="P45" s="10">
        <f>O45*1.5</f>
        <v>1.9532954532120854</v>
      </c>
      <c r="Q45" s="10">
        <f>(P45/25.43168)*100</f>
        <v>7.680560046414886</v>
      </c>
      <c r="T45">
        <f t="shared" si="31"/>
        <v>7200</v>
      </c>
      <c r="U45" s="5">
        <v>120</v>
      </c>
      <c r="V45" s="8">
        <f t="shared" si="32"/>
        <v>1.0216427104722794</v>
      </c>
      <c r="W45" s="9">
        <f t="shared" si="33"/>
        <v>2.580395863889704</v>
      </c>
      <c r="X45" s="10">
        <f t="shared" si="34"/>
        <v>1.3656954923242399</v>
      </c>
      <c r="Y45" s="10">
        <f>X45*1.5</f>
        <v>2.04854323848636</v>
      </c>
      <c r="Z45" s="10">
        <f>(Y45/25.43168)*100</f>
        <v>8.0550842039785024</v>
      </c>
    </row>
    <row r="46" spans="2:26" x14ac:dyDescent="0.3">
      <c r="E46" s="11" t="s">
        <v>31</v>
      </c>
      <c r="F46">
        <f>SLOPE(G42:G45,B42:B45)</f>
        <v>2.4555562889084446E-4</v>
      </c>
      <c r="N46" s="11" t="s">
        <v>31</v>
      </c>
      <c r="O46">
        <f>SLOPE(P42:P45,K42:K45)</f>
        <v>2.2021373162543591E-4</v>
      </c>
      <c r="W46" s="11" t="s">
        <v>31</v>
      </c>
      <c r="X46">
        <f>SLOPE(Y42:Y45,T42:T45)</f>
        <v>2.4195259280988243E-4</v>
      </c>
    </row>
    <row r="47" spans="2:26" ht="16.2" x14ac:dyDescent="0.35">
      <c r="B47" t="s">
        <v>32</v>
      </c>
    </row>
    <row r="48" spans="2:26" ht="16.2" x14ac:dyDescent="0.35">
      <c r="B48" t="s">
        <v>33</v>
      </c>
    </row>
    <row r="49" spans="2:11" ht="16.2" x14ac:dyDescent="0.35">
      <c r="B49" t="s">
        <v>34</v>
      </c>
    </row>
    <row r="50" spans="2:11" x14ac:dyDescent="0.3">
      <c r="B50" t="s">
        <v>35</v>
      </c>
    </row>
    <row r="51" spans="2:11" ht="16.2" x14ac:dyDescent="0.35">
      <c r="B51" t="s">
        <v>36</v>
      </c>
    </row>
    <row r="53" spans="2:11" s="12" customFormat="1" x14ac:dyDescent="0.3"/>
    <row r="54" spans="2:11" x14ac:dyDescent="0.3">
      <c r="C54" s="2"/>
      <c r="D54" s="2"/>
      <c r="E54" s="2"/>
      <c r="F54" s="2"/>
      <c r="G54" s="2"/>
      <c r="H54" s="2"/>
      <c r="I54" s="2"/>
    </row>
    <row r="55" spans="2:11" x14ac:dyDescent="0.3">
      <c r="C55" t="s">
        <v>6</v>
      </c>
      <c r="D55" t="s">
        <v>14</v>
      </c>
    </row>
    <row r="57" spans="2:11" x14ac:dyDescent="0.3">
      <c r="C57" t="s">
        <v>7</v>
      </c>
      <c r="D57" t="s">
        <v>1</v>
      </c>
      <c r="E57" t="s">
        <v>0</v>
      </c>
    </row>
    <row r="58" spans="2:11" x14ac:dyDescent="0.3">
      <c r="E58">
        <v>1</v>
      </c>
      <c r="F58">
        <v>2</v>
      </c>
      <c r="G58">
        <v>3</v>
      </c>
      <c r="H58" t="s">
        <v>2</v>
      </c>
      <c r="I58" t="s">
        <v>3</v>
      </c>
      <c r="J58" t="s">
        <v>4</v>
      </c>
      <c r="K58" t="s">
        <v>5</v>
      </c>
    </row>
    <row r="59" spans="2:11" x14ac:dyDescent="0.3">
      <c r="C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2:11" x14ac:dyDescent="0.3">
      <c r="C60">
        <v>15</v>
      </c>
      <c r="E60">
        <v>0.65023200000000003</v>
      </c>
      <c r="F60">
        <v>0.446492</v>
      </c>
      <c r="G60">
        <v>0.43903599999999998</v>
      </c>
      <c r="H60">
        <f>AVERAGE(E60:G60)</f>
        <v>0.51192000000000004</v>
      </c>
      <c r="I60">
        <f>STDEV(E60:G60)</f>
        <v>0.11983970540684767</v>
      </c>
      <c r="J60">
        <f>I60/H60</f>
        <v>0.23409850251376713</v>
      </c>
      <c r="K60">
        <f>J60*100</f>
        <v>23.409850251376714</v>
      </c>
    </row>
    <row r="61" spans="2:11" x14ac:dyDescent="0.3">
      <c r="C61">
        <v>30</v>
      </c>
      <c r="E61">
        <v>2.5580099999999999</v>
      </c>
      <c r="F61">
        <v>1.84446</v>
      </c>
      <c r="G61">
        <v>2.1432600000000002</v>
      </c>
      <c r="H61">
        <f t="shared" ref="H61:H64" si="35">AVERAGE(E61:G61)</f>
        <v>2.1819100000000002</v>
      </c>
      <c r="I61">
        <f t="shared" ref="I61:I64" si="36">STDEV(E61:G61)</f>
        <v>0.358341690987803</v>
      </c>
      <c r="J61">
        <f t="shared" ref="J61:J64" si="37">I61/H61</f>
        <v>0.16423303022938754</v>
      </c>
      <c r="K61">
        <f t="shared" ref="K61:K64" si="38">J61*100</f>
        <v>16.423303022938754</v>
      </c>
    </row>
    <row r="62" spans="2:11" x14ac:dyDescent="0.3">
      <c r="C62">
        <v>60</v>
      </c>
      <c r="E62">
        <v>5.5073699999999999</v>
      </c>
      <c r="F62">
        <v>3.77616</v>
      </c>
      <c r="G62">
        <v>5.89534</v>
      </c>
      <c r="H62">
        <f t="shared" si="35"/>
        <v>5.0596233333333336</v>
      </c>
      <c r="I62">
        <f t="shared" si="36"/>
        <v>1.1283123575647525</v>
      </c>
      <c r="J62">
        <f t="shared" si="37"/>
        <v>0.22300323230215802</v>
      </c>
      <c r="K62">
        <f t="shared" si="38"/>
        <v>22.300323230215803</v>
      </c>
    </row>
    <row r="63" spans="2:11" x14ac:dyDescent="0.3">
      <c r="C63">
        <v>90</v>
      </c>
      <c r="E63">
        <v>6.3072800000000004</v>
      </c>
      <c r="F63">
        <v>4.8644800000000004</v>
      </c>
      <c r="G63">
        <v>6.5997399999999997</v>
      </c>
      <c r="H63">
        <f t="shared" si="35"/>
        <v>5.9238333333333335</v>
      </c>
      <c r="I63">
        <f t="shared" si="36"/>
        <v>0.9290077106963831</v>
      </c>
      <c r="J63">
        <f t="shared" si="37"/>
        <v>0.15682543016003991</v>
      </c>
      <c r="K63">
        <f t="shared" si="38"/>
        <v>15.682543016003992</v>
      </c>
    </row>
    <row r="64" spans="2:11" x14ac:dyDescent="0.3">
      <c r="C64">
        <v>120</v>
      </c>
      <c r="E64">
        <v>8.5945800000000006</v>
      </c>
      <c r="F64">
        <v>6.6357600000000003</v>
      </c>
      <c r="G64">
        <v>10.98265</v>
      </c>
      <c r="H64">
        <f t="shared" si="35"/>
        <v>8.7376633333333338</v>
      </c>
      <c r="I64">
        <f t="shared" si="36"/>
        <v>2.1769744597108418</v>
      </c>
      <c r="J64">
        <f t="shared" si="37"/>
        <v>0.24914835656415102</v>
      </c>
      <c r="K64">
        <f t="shared" si="38"/>
        <v>24.9148356564151</v>
      </c>
    </row>
    <row r="66" spans="2:26" x14ac:dyDescent="0.3">
      <c r="C66">
        <v>15</v>
      </c>
      <c r="E66">
        <f>(E60+1.7384)/13.636</f>
        <v>0.17517101789381051</v>
      </c>
      <c r="F66">
        <f t="shared" ref="F66:G66" si="39">(F60+1.7384)/13.636</f>
        <v>0.16022968612496336</v>
      </c>
      <c r="G66">
        <f t="shared" si="39"/>
        <v>0.15968289821061896</v>
      </c>
      <c r="H66">
        <f t="shared" ref="H66:H71" si="40">AVERAGE(E66:G66)</f>
        <v>0.16502786740979761</v>
      </c>
      <c r="I66">
        <f t="shared" ref="I66:I69" si="41">STDEV(E66:G66)</f>
        <v>8.7884794226200848E-3</v>
      </c>
      <c r="J66">
        <f t="shared" ref="J66:J69" si="42">I66/H66</f>
        <v>5.3254517316136132E-2</v>
      </c>
      <c r="K66">
        <f t="shared" ref="K66:K69" si="43">J66*100</f>
        <v>5.3254517316136134</v>
      </c>
    </row>
    <row r="67" spans="2:26" x14ac:dyDescent="0.3">
      <c r="C67">
        <v>30</v>
      </c>
      <c r="E67">
        <f t="shared" ref="E67:G67" si="44">(E61+1.7384)/13.636</f>
        <v>0.3150784687591669</v>
      </c>
      <c r="F67">
        <f t="shared" si="44"/>
        <v>0.26275007333528899</v>
      </c>
      <c r="G67">
        <f t="shared" si="44"/>
        <v>0.28466265767087123</v>
      </c>
      <c r="H67">
        <f t="shared" si="40"/>
        <v>0.28749706658844237</v>
      </c>
      <c r="I67">
        <f t="shared" si="41"/>
        <v>2.6279091448211001E-2</v>
      </c>
      <c r="J67">
        <f t="shared" si="42"/>
        <v>9.1406468107829528E-2</v>
      </c>
      <c r="K67">
        <f t="shared" si="43"/>
        <v>9.1406468107829522</v>
      </c>
    </row>
    <row r="68" spans="2:26" x14ac:dyDescent="0.3">
      <c r="C68">
        <v>60</v>
      </c>
      <c r="E68">
        <f t="shared" ref="E68:G68" si="45">(E62+1.7384)/13.636</f>
        <v>0.53137063655030803</v>
      </c>
      <c r="F68">
        <f t="shared" si="45"/>
        <v>0.40441185098269283</v>
      </c>
      <c r="G68">
        <f t="shared" si="45"/>
        <v>0.55982252860076265</v>
      </c>
      <c r="H68">
        <f t="shared" si="40"/>
        <v>0.49853500537792117</v>
      </c>
      <c r="I68">
        <f t="shared" si="41"/>
        <v>8.2745112757755632E-2</v>
      </c>
      <c r="J68">
        <f t="shared" si="42"/>
        <v>0.1659765349777787</v>
      </c>
      <c r="K68">
        <f t="shared" si="43"/>
        <v>16.59765349777787</v>
      </c>
      <c r="V68" s="26" t="s">
        <v>14</v>
      </c>
      <c r="W68" s="26"/>
      <c r="X68" s="26"/>
      <c r="Y68" s="26"/>
      <c r="Z68" s="26"/>
    </row>
    <row r="69" spans="2:26" x14ac:dyDescent="0.3">
      <c r="C69">
        <v>90</v>
      </c>
      <c r="E69">
        <f t="shared" ref="E69:G69" si="46">(E63+1.7384)/13.636</f>
        <v>0.59003226752713411</v>
      </c>
      <c r="F69">
        <f t="shared" si="46"/>
        <v>0.48422411264300391</v>
      </c>
      <c r="G69">
        <f t="shared" si="46"/>
        <v>0.61147990613083014</v>
      </c>
      <c r="H69">
        <f t="shared" si="40"/>
        <v>0.56191209543365606</v>
      </c>
      <c r="I69">
        <f t="shared" si="41"/>
        <v>6.8129048892371785E-2</v>
      </c>
      <c r="J69">
        <f t="shared" si="42"/>
        <v>0.12124503004298767</v>
      </c>
      <c r="K69">
        <f t="shared" si="43"/>
        <v>12.124503004298766</v>
      </c>
      <c r="V69">
        <v>1</v>
      </c>
      <c r="W69">
        <v>2</v>
      </c>
      <c r="X69">
        <v>3</v>
      </c>
      <c r="Y69" t="s">
        <v>2</v>
      </c>
      <c r="Z69" t="s">
        <v>3</v>
      </c>
    </row>
    <row r="70" spans="2:26" x14ac:dyDescent="0.3">
      <c r="C70">
        <v>120</v>
      </c>
      <c r="E70">
        <f t="shared" ref="E70:G70" si="47">(E64+1.7384)/13.636</f>
        <v>0.75777207392197132</v>
      </c>
      <c r="F70">
        <f t="shared" si="47"/>
        <v>0.61412144323848639</v>
      </c>
      <c r="G70">
        <f t="shared" si="47"/>
        <v>0.93290187738339692</v>
      </c>
      <c r="H70">
        <f t="shared" si="40"/>
        <v>0.76826513151461817</v>
      </c>
      <c r="I70">
        <f>STDEV(E70:G70)</f>
        <v>0.15964905102015667</v>
      </c>
      <c r="J70">
        <f>I70/H70</f>
        <v>0.20780462951040352</v>
      </c>
      <c r="K70">
        <f>J70*100</f>
        <v>20.780462951040352</v>
      </c>
      <c r="U70" s="4" t="s">
        <v>41</v>
      </c>
      <c r="V70">
        <f>H97*(1/(1.12*L113))</f>
        <v>9.0511763968326675E-6</v>
      </c>
      <c r="W70">
        <f>Q97*(1/(1.12*L113))</f>
        <v>7.3244076384724814E-6</v>
      </c>
      <c r="X70">
        <f>Z97*(1/(1.12*L113))</f>
        <v>1.1461127593007377E-5</v>
      </c>
      <c r="Y70" s="13">
        <f>AVERAGE(V70:X70)</f>
        <v>9.2789038761041752E-6</v>
      </c>
      <c r="Z70">
        <f>STDEV(V70:X70)</f>
        <v>2.0777410447823648E-6</v>
      </c>
    </row>
    <row r="71" spans="2:26" x14ac:dyDescent="0.3">
      <c r="H71" t="e">
        <f t="shared" si="40"/>
        <v>#DIV/0!</v>
      </c>
      <c r="I71" t="e">
        <f t="shared" ref="I71" si="48">STDEV(E71:G71)</f>
        <v>#DIV/0!</v>
      </c>
      <c r="J71" t="e">
        <f t="shared" ref="J71" si="49">I71/H71</f>
        <v>#DIV/0!</v>
      </c>
      <c r="K71" t="e">
        <f t="shared" ref="K71" si="50">J71*100</f>
        <v>#DIV/0!</v>
      </c>
    </row>
    <row r="75" spans="2:26" x14ac:dyDescent="0.3">
      <c r="J75" s="26"/>
      <c r="K75" s="26"/>
    </row>
    <row r="76" spans="2:26" x14ac:dyDescent="0.3">
      <c r="B76" t="s">
        <v>43</v>
      </c>
      <c r="E76">
        <v>1</v>
      </c>
      <c r="F76">
        <v>2</v>
      </c>
      <c r="G76">
        <v>3</v>
      </c>
      <c r="H76" t="s">
        <v>2</v>
      </c>
      <c r="I76" t="s">
        <v>3</v>
      </c>
      <c r="V76" s="26" t="s">
        <v>29</v>
      </c>
      <c r="W76" s="26"/>
    </row>
    <row r="77" spans="2:26" x14ac:dyDescent="0.3">
      <c r="C77">
        <f t="shared" ref="C77:C82" si="51">C59</f>
        <v>0</v>
      </c>
      <c r="E77">
        <v>0</v>
      </c>
      <c r="F77">
        <v>0</v>
      </c>
      <c r="G77">
        <v>0</v>
      </c>
      <c r="H77">
        <v>0</v>
      </c>
      <c r="I77">
        <v>0</v>
      </c>
      <c r="U77" s="4" t="s">
        <v>24</v>
      </c>
      <c r="V77" t="s">
        <v>45</v>
      </c>
      <c r="W77" t="s">
        <v>3</v>
      </c>
    </row>
    <row r="78" spans="2:26" x14ac:dyDescent="0.3">
      <c r="C78">
        <f t="shared" si="51"/>
        <v>15</v>
      </c>
      <c r="E78">
        <f>E66*4</f>
        <v>0.70068407157524204</v>
      </c>
      <c r="F78">
        <f t="shared" ref="F78:G78" si="52">F66*4</f>
        <v>0.64091874449985342</v>
      </c>
      <c r="G78">
        <f t="shared" si="52"/>
        <v>0.63873159284247583</v>
      </c>
      <c r="H78">
        <f>AVERAGE(E78:G78)</f>
        <v>0.66011146963919043</v>
      </c>
      <c r="I78">
        <f>STDEV(E78:G78)</f>
        <v>3.5153917690480339E-2</v>
      </c>
      <c r="U78">
        <v>0</v>
      </c>
      <c r="V78" s="21">
        <f>AVERAGE(I91,R91,AA91)</f>
        <v>0</v>
      </c>
      <c r="W78" s="21">
        <f>STDEV(I91,R91,AA91)</f>
        <v>0</v>
      </c>
    </row>
    <row r="79" spans="2:26" x14ac:dyDescent="0.3">
      <c r="C79">
        <f t="shared" si="51"/>
        <v>30</v>
      </c>
      <c r="E79">
        <f t="shared" ref="E79:G79" si="53">E67*4</f>
        <v>1.2603138750366676</v>
      </c>
      <c r="F79">
        <f t="shared" si="53"/>
        <v>1.051000293341156</v>
      </c>
      <c r="G79">
        <f t="shared" si="53"/>
        <v>1.1386506306834849</v>
      </c>
      <c r="H79">
        <f t="shared" ref="H79:H82" si="54">AVERAGE(E79:G79)</f>
        <v>1.1499882663537695</v>
      </c>
      <c r="I79">
        <f t="shared" ref="I79:I82" si="55">STDEV(E79:G79)</f>
        <v>0.105116365792844</v>
      </c>
      <c r="U79">
        <v>15</v>
      </c>
      <c r="V79" s="21">
        <f t="shared" ref="V79:V83" si="56">AVERAGE(I92,R92,AA92)</f>
        <v>0.33005573481959521</v>
      </c>
      <c r="W79" s="21">
        <f t="shared" ref="W79:W83" si="57">STDEV(I92,R92,AA92)</f>
        <v>1.757695884524017E-2</v>
      </c>
    </row>
    <row r="80" spans="2:26" x14ac:dyDescent="0.3">
      <c r="C80">
        <f t="shared" si="51"/>
        <v>60</v>
      </c>
      <c r="E80">
        <f t="shared" ref="E80:G80" si="58">E68*4</f>
        <v>2.1254825462012321</v>
      </c>
      <c r="F80">
        <f t="shared" si="58"/>
        <v>1.6176474039307713</v>
      </c>
      <c r="G80">
        <f t="shared" si="58"/>
        <v>2.2392901144030506</v>
      </c>
      <c r="H80">
        <f t="shared" si="54"/>
        <v>1.9941400215116847</v>
      </c>
      <c r="I80">
        <f t="shared" si="55"/>
        <v>0.33098045103102253</v>
      </c>
      <c r="U80">
        <v>30</v>
      </c>
      <c r="V80" s="21">
        <f t="shared" si="56"/>
        <v>0.64100528014080382</v>
      </c>
      <c r="W80" s="21">
        <f t="shared" si="57"/>
        <v>5.5728293796618457E-2</v>
      </c>
    </row>
    <row r="81" spans="3:28" x14ac:dyDescent="0.3">
      <c r="C81">
        <f t="shared" si="51"/>
        <v>90</v>
      </c>
      <c r="E81">
        <f t="shared" ref="E81:G81" si="59">E69*4</f>
        <v>2.3601290701085365</v>
      </c>
      <c r="F81">
        <f t="shared" si="59"/>
        <v>1.9368964505720156</v>
      </c>
      <c r="G81">
        <f t="shared" si="59"/>
        <v>2.4459196245233206</v>
      </c>
      <c r="H81">
        <f t="shared" si="54"/>
        <v>2.2476483817346242</v>
      </c>
      <c r="I81">
        <f t="shared" si="55"/>
        <v>0.27251619556948714</v>
      </c>
      <c r="U81">
        <v>60</v>
      </c>
      <c r="V81" s="21">
        <f t="shared" si="56"/>
        <v>1.1780799843551384</v>
      </c>
      <c r="W81" s="21">
        <f t="shared" si="57"/>
        <v>0.17432926378726435</v>
      </c>
    </row>
    <row r="82" spans="3:28" x14ac:dyDescent="0.3">
      <c r="C82">
        <f t="shared" si="51"/>
        <v>120</v>
      </c>
      <c r="E82">
        <f t="shared" ref="E82:G82" si="60">E70*4</f>
        <v>3.0310882956878853</v>
      </c>
      <c r="F82">
        <f t="shared" si="60"/>
        <v>2.4564857729539455</v>
      </c>
      <c r="G82">
        <f t="shared" si="60"/>
        <v>3.7316075095335877</v>
      </c>
      <c r="H82">
        <f t="shared" si="54"/>
        <v>3.0730605260584727</v>
      </c>
      <c r="I82">
        <f t="shared" si="55"/>
        <v>0.63859620408062667</v>
      </c>
      <c r="U82">
        <v>90</v>
      </c>
      <c r="V82" s="21">
        <f t="shared" si="56"/>
        <v>1.5042481666177767</v>
      </c>
      <c r="W82" s="21">
        <f t="shared" si="57"/>
        <v>0.17830604149050566</v>
      </c>
    </row>
    <row r="83" spans="3:28" x14ac:dyDescent="0.3">
      <c r="U83">
        <v>120</v>
      </c>
      <c r="V83" s="21">
        <f t="shared" si="56"/>
        <v>2.1417190769531631</v>
      </c>
      <c r="W83" s="21">
        <f t="shared" si="57"/>
        <v>0.37992434138499953</v>
      </c>
    </row>
    <row r="84" spans="3:28" x14ac:dyDescent="0.3">
      <c r="V84" t="s">
        <v>46</v>
      </c>
      <c r="W84" s="21">
        <f>AVERAGE(H97,Q97,Z97)</f>
        <v>2.6823942070553977E-4</v>
      </c>
    </row>
    <row r="86" spans="3:28" ht="16.2" x14ac:dyDescent="0.35">
      <c r="D86" s="4"/>
      <c r="E86" s="4" t="s">
        <v>18</v>
      </c>
      <c r="F86" s="4" t="s">
        <v>19</v>
      </c>
      <c r="H86" t="s">
        <v>20</v>
      </c>
      <c r="M86" s="4"/>
      <c r="N86" s="4" t="s">
        <v>18</v>
      </c>
      <c r="O86" s="4" t="s">
        <v>19</v>
      </c>
      <c r="Q86" t="s">
        <v>20</v>
      </c>
      <c r="V86" s="4"/>
      <c r="W86" s="4" t="s">
        <v>18</v>
      </c>
      <c r="X86" s="4" t="s">
        <v>19</v>
      </c>
      <c r="Z86" t="s">
        <v>20</v>
      </c>
    </row>
    <row r="87" spans="3:28" x14ac:dyDescent="0.3">
      <c r="D87" s="5"/>
      <c r="E87" s="5">
        <v>0.5</v>
      </c>
      <c r="F87" s="5">
        <v>0.1</v>
      </c>
      <c r="G87" s="3"/>
      <c r="H87" s="3">
        <v>10000</v>
      </c>
      <c r="I87" s="3"/>
      <c r="J87" s="3"/>
      <c r="M87" s="5"/>
      <c r="N87" s="5">
        <v>0.5</v>
      </c>
      <c r="O87" s="5">
        <v>0.1</v>
      </c>
      <c r="P87" s="20"/>
      <c r="Q87" s="20">
        <v>10000</v>
      </c>
      <c r="R87" s="20"/>
      <c r="S87" s="20"/>
      <c r="V87" s="5"/>
      <c r="W87" s="5">
        <v>0.5</v>
      </c>
      <c r="X87" s="5">
        <v>0.1</v>
      </c>
      <c r="Y87" s="20"/>
      <c r="Z87" s="20">
        <v>10000</v>
      </c>
      <c r="AA87" s="20"/>
      <c r="AB87" s="20"/>
    </row>
    <row r="88" spans="3:28" x14ac:dyDescent="0.3">
      <c r="D88" s="4"/>
      <c r="E88" s="6" t="s">
        <v>21</v>
      </c>
      <c r="F88" s="6" t="s">
        <v>21</v>
      </c>
      <c r="G88" s="3"/>
      <c r="H88" s="7" t="s">
        <v>22</v>
      </c>
      <c r="I88" s="3"/>
      <c r="J88" s="3"/>
      <c r="M88" s="4"/>
      <c r="N88" s="6" t="s">
        <v>21</v>
      </c>
      <c r="O88" s="6" t="s">
        <v>21</v>
      </c>
      <c r="P88" s="20"/>
      <c r="Q88" s="7" t="s">
        <v>22</v>
      </c>
      <c r="R88" s="20"/>
      <c r="S88" s="20"/>
      <c r="V88" s="4"/>
      <c r="W88" s="6" t="s">
        <v>21</v>
      </c>
      <c r="X88" s="6" t="s">
        <v>21</v>
      </c>
      <c r="Y88" s="20"/>
      <c r="Z88" s="7" t="s">
        <v>22</v>
      </c>
      <c r="AA88" s="20"/>
      <c r="AB88" s="20"/>
    </row>
    <row r="89" spans="3:28" x14ac:dyDescent="0.3">
      <c r="D89" s="3"/>
      <c r="E89" s="3"/>
      <c r="F89" s="4" t="s">
        <v>23</v>
      </c>
      <c r="G89" s="3"/>
      <c r="H89" s="3"/>
      <c r="I89" s="3"/>
      <c r="J89" s="3"/>
      <c r="M89" s="20"/>
      <c r="N89" s="20"/>
      <c r="O89" s="4" t="s">
        <v>23</v>
      </c>
      <c r="P89" s="20"/>
      <c r="Q89" s="20"/>
      <c r="R89" s="20"/>
      <c r="S89" s="20"/>
      <c r="V89" s="20"/>
      <c r="W89" s="20"/>
      <c r="X89" s="4" t="s">
        <v>23</v>
      </c>
      <c r="Y89" s="20"/>
      <c r="Z89" s="20"/>
      <c r="AA89" s="20"/>
      <c r="AB89" s="20"/>
    </row>
    <row r="90" spans="3:28" x14ac:dyDescent="0.3">
      <c r="D90" s="4" t="s">
        <v>24</v>
      </c>
      <c r="E90" s="4" t="s">
        <v>25</v>
      </c>
      <c r="F90" t="s">
        <v>26</v>
      </c>
      <c r="G90" s="4" t="s">
        <v>27</v>
      </c>
      <c r="H90" s="4" t="s">
        <v>28</v>
      </c>
      <c r="I90" s="4" t="s">
        <v>29</v>
      </c>
      <c r="J90" s="4" t="s">
        <v>30</v>
      </c>
      <c r="M90" s="4" t="s">
        <v>24</v>
      </c>
      <c r="N90" s="4" t="s">
        <v>25</v>
      </c>
      <c r="O90" t="s">
        <v>26</v>
      </c>
      <c r="P90" s="4" t="s">
        <v>27</v>
      </c>
      <c r="Q90" s="4" t="s">
        <v>28</v>
      </c>
      <c r="R90" s="4" t="s">
        <v>29</v>
      </c>
      <c r="S90" s="4" t="s">
        <v>30</v>
      </c>
      <c r="V90" s="4" t="s">
        <v>24</v>
      </c>
      <c r="W90" s="4" t="s">
        <v>25</v>
      </c>
      <c r="X90" t="s">
        <v>26</v>
      </c>
      <c r="Y90" s="4" t="s">
        <v>27</v>
      </c>
      <c r="Z90" s="4" t="s">
        <v>28</v>
      </c>
      <c r="AA90" s="4" t="s">
        <v>29</v>
      </c>
      <c r="AB90" s="4" t="s">
        <v>30</v>
      </c>
    </row>
    <row r="91" spans="3:28" x14ac:dyDescent="0.3">
      <c r="D91">
        <v>0</v>
      </c>
      <c r="E91" s="5">
        <v>0</v>
      </c>
      <c r="F91" s="8">
        <v>0</v>
      </c>
      <c r="G91" s="9">
        <v>0</v>
      </c>
      <c r="H91" s="10">
        <f>((0.5*F91)+(1.3*G91))/0.5</f>
        <v>0</v>
      </c>
      <c r="I91" s="10">
        <f>H91*0.5</f>
        <v>0</v>
      </c>
      <c r="J91" s="10">
        <f>(I91/25.81118265)*100</f>
        <v>0</v>
      </c>
      <c r="M91">
        <v>0</v>
      </c>
      <c r="N91" s="5">
        <v>0</v>
      </c>
      <c r="O91" s="8">
        <v>0</v>
      </c>
      <c r="P91" s="9">
        <v>0</v>
      </c>
      <c r="Q91" s="10">
        <f>((0.5*O91)+(1.3*P91))/0.5</f>
        <v>0</v>
      </c>
      <c r="R91" s="10">
        <f>Q91*0.5</f>
        <v>0</v>
      </c>
      <c r="S91" s="10">
        <f>(R91/25.81118265)*100</f>
        <v>0</v>
      </c>
      <c r="V91">
        <v>0</v>
      </c>
      <c r="W91" s="5">
        <v>0</v>
      </c>
      <c r="X91" s="8">
        <v>0</v>
      </c>
      <c r="Y91" s="9">
        <v>0</v>
      </c>
      <c r="Z91" s="10">
        <f>((0.5*X91)+(1.3*Y91))/0.5</f>
        <v>0</v>
      </c>
      <c r="AA91" s="10">
        <f>Z91*0.5</f>
        <v>0</v>
      </c>
      <c r="AB91" s="10">
        <f>(AA91/25.81118265)*100</f>
        <v>0</v>
      </c>
    </row>
    <row r="92" spans="3:28" x14ac:dyDescent="0.3">
      <c r="D92">
        <f>E92*60</f>
        <v>900</v>
      </c>
      <c r="E92" s="5">
        <v>15</v>
      </c>
      <c r="F92" s="8">
        <f>E78</f>
        <v>0.70068407157524204</v>
      </c>
      <c r="G92" s="9">
        <f>$F91+$G91</f>
        <v>0</v>
      </c>
      <c r="H92" s="10">
        <f>((0.5*F92)+(0.1*G92))/0.5</f>
        <v>0.70068407157524204</v>
      </c>
      <c r="I92" s="10">
        <f t="shared" ref="I92:I96" si="61">H92*0.5</f>
        <v>0.35034203578762102</v>
      </c>
      <c r="J92" s="10">
        <f t="shared" ref="J92:J95" si="62">(I92/25.81118265)*100</f>
        <v>1.3573265531388621</v>
      </c>
      <c r="M92">
        <f>N92*60</f>
        <v>900</v>
      </c>
      <c r="N92" s="5">
        <v>15</v>
      </c>
      <c r="O92" s="8">
        <f>F78</f>
        <v>0.64091874449985342</v>
      </c>
      <c r="P92" s="9">
        <f>O91+P91</f>
        <v>0</v>
      </c>
      <c r="Q92" s="10">
        <f>((0.5*O92)+(0.1*P92))/0.5</f>
        <v>0.64091874449985342</v>
      </c>
      <c r="R92" s="10">
        <f t="shared" ref="R92:R96" si="63">Q92*0.5</f>
        <v>0.32045937224992671</v>
      </c>
      <c r="S92" s="10">
        <f t="shared" ref="S92:S95" si="64">(R92/25.81118265)*100</f>
        <v>1.2415524565277007</v>
      </c>
      <c r="V92">
        <f>W92*60</f>
        <v>900</v>
      </c>
      <c r="W92" s="5">
        <v>15</v>
      </c>
      <c r="X92" s="8">
        <f>G78</f>
        <v>0.63873159284247583</v>
      </c>
      <c r="Y92" s="9">
        <f>$X91+$Y91</f>
        <v>0</v>
      </c>
      <c r="Z92" s="10">
        <f>((0.5*X92)+(0.1*Y92))/0.5</f>
        <v>0.63873159284247583</v>
      </c>
      <c r="AA92" s="10">
        <f t="shared" ref="AA92:AA96" si="65">Z92*0.5</f>
        <v>0.31936579642123791</v>
      </c>
      <c r="AB92" s="10">
        <f t="shared" ref="AB92:AB95" si="66">(AA92/25.81118265)*100</f>
        <v>1.2373156269197061</v>
      </c>
    </row>
    <row r="93" spans="3:28" x14ac:dyDescent="0.3">
      <c r="D93">
        <f t="shared" ref="D93:D96" si="67">E93*60</f>
        <v>1800</v>
      </c>
      <c r="E93" s="5">
        <v>30</v>
      </c>
      <c r="F93" s="8">
        <f t="shared" ref="F93:F96" si="68">E79</f>
        <v>1.2603138750366676</v>
      </c>
      <c r="G93" s="9">
        <f t="shared" ref="G93:G96" si="69">$F92+$G92</f>
        <v>0.70068407157524204</v>
      </c>
      <c r="H93" s="10">
        <f t="shared" ref="H93:H96" si="70">((0.5*F93)+(0.1*G93))/0.5</f>
        <v>1.4004506893517159</v>
      </c>
      <c r="I93" s="10">
        <f t="shared" si="61"/>
        <v>0.70022534467585795</v>
      </c>
      <c r="J93" s="10">
        <f t="shared" si="62"/>
        <v>2.7128758653600786</v>
      </c>
      <c r="M93">
        <f t="shared" ref="M93:M96" si="71">N93*60</f>
        <v>1800</v>
      </c>
      <c r="N93" s="5">
        <v>30</v>
      </c>
      <c r="O93" s="8">
        <f t="shared" ref="O93:O96" si="72">F79</f>
        <v>1.051000293341156</v>
      </c>
      <c r="P93" s="9">
        <f t="shared" ref="P93:P96" si="73">O92+P92</f>
        <v>0.64091874449985342</v>
      </c>
      <c r="Q93" s="10">
        <f t="shared" ref="Q93:Q96" si="74">((0.5*O93)+(0.1*P93))/0.5</f>
        <v>1.1791840422411266</v>
      </c>
      <c r="R93" s="10">
        <f t="shared" si="63"/>
        <v>0.5895920211205633</v>
      </c>
      <c r="S93" s="10">
        <f t="shared" si="64"/>
        <v>2.2842503155141682</v>
      </c>
      <c r="V93">
        <f t="shared" ref="V93:V96" si="75">W93*60</f>
        <v>1800</v>
      </c>
      <c r="W93" s="5">
        <v>30</v>
      </c>
      <c r="X93" s="8">
        <f t="shared" ref="X93:X96" si="76">G79</f>
        <v>1.1386506306834849</v>
      </c>
      <c r="Y93" s="9">
        <f t="shared" ref="Y93:Y96" si="77">$X92+$Y92</f>
        <v>0.63873159284247583</v>
      </c>
      <c r="Z93" s="10">
        <f t="shared" ref="Z93:Z96" si="78">((0.5*X93)+(0.1*Y93))/0.5</f>
        <v>1.26639694925198</v>
      </c>
      <c r="AA93" s="10">
        <f t="shared" si="65"/>
        <v>0.63319847462598999</v>
      </c>
      <c r="AB93" s="10">
        <f t="shared" si="66"/>
        <v>2.453194350728404</v>
      </c>
    </row>
    <row r="94" spans="3:28" x14ac:dyDescent="0.3">
      <c r="D94">
        <f t="shared" si="67"/>
        <v>3600</v>
      </c>
      <c r="E94" s="5">
        <v>60</v>
      </c>
      <c r="F94" s="8">
        <f t="shared" si="68"/>
        <v>2.1254825462012321</v>
      </c>
      <c r="G94" s="9">
        <f t="shared" si="69"/>
        <v>1.9609979466119096</v>
      </c>
      <c r="H94" s="10">
        <f t="shared" si="70"/>
        <v>2.5176821355236143</v>
      </c>
      <c r="I94" s="10">
        <f t="shared" si="61"/>
        <v>1.2588410677618072</v>
      </c>
      <c r="J94" s="10">
        <f t="shared" si="62"/>
        <v>4.877115027357366</v>
      </c>
      <c r="M94">
        <f t="shared" si="71"/>
        <v>3600</v>
      </c>
      <c r="N94" s="5">
        <v>60</v>
      </c>
      <c r="O94" s="8">
        <f t="shared" si="72"/>
        <v>1.6176474039307713</v>
      </c>
      <c r="P94" s="9">
        <f t="shared" si="73"/>
        <v>1.6919190378410094</v>
      </c>
      <c r="Q94" s="10">
        <f t="shared" si="74"/>
        <v>1.9560312114989733</v>
      </c>
      <c r="R94" s="10">
        <f t="shared" si="63"/>
        <v>0.97801560574948665</v>
      </c>
      <c r="S94" s="10">
        <f t="shared" si="64"/>
        <v>3.7891158224378634</v>
      </c>
      <c r="V94">
        <f t="shared" si="75"/>
        <v>3600</v>
      </c>
      <c r="W94" s="5">
        <v>60</v>
      </c>
      <c r="X94" s="8">
        <f t="shared" si="76"/>
        <v>2.2392901144030506</v>
      </c>
      <c r="Y94" s="9">
        <f t="shared" si="77"/>
        <v>1.7773822235259606</v>
      </c>
      <c r="Z94" s="10">
        <f t="shared" si="78"/>
        <v>2.5947665591082427</v>
      </c>
      <c r="AA94" s="10">
        <f t="shared" si="65"/>
        <v>1.2973832795541214</v>
      </c>
      <c r="AB94" s="10">
        <f t="shared" si="66"/>
        <v>5.0264387228847935</v>
      </c>
    </row>
    <row r="95" spans="3:28" x14ac:dyDescent="0.3">
      <c r="D95">
        <f t="shared" si="67"/>
        <v>5400</v>
      </c>
      <c r="E95" s="5">
        <v>90</v>
      </c>
      <c r="F95" s="8">
        <f t="shared" si="68"/>
        <v>2.3601290701085365</v>
      </c>
      <c r="G95" s="9">
        <f t="shared" si="69"/>
        <v>4.0864804928131413</v>
      </c>
      <c r="H95" s="10">
        <f t="shared" si="70"/>
        <v>3.1774251686711645</v>
      </c>
      <c r="I95" s="10">
        <f t="shared" si="61"/>
        <v>1.5887125843355823</v>
      </c>
      <c r="J95" s="10">
        <f t="shared" si="62"/>
        <v>6.1551328580272635</v>
      </c>
      <c r="M95">
        <f t="shared" si="71"/>
        <v>5400</v>
      </c>
      <c r="N95" s="5">
        <v>90</v>
      </c>
      <c r="O95" s="8">
        <f t="shared" si="72"/>
        <v>1.9368964505720156</v>
      </c>
      <c r="P95" s="9">
        <f t="shared" si="73"/>
        <v>3.3095664417717807</v>
      </c>
      <c r="Q95" s="10">
        <f t="shared" si="74"/>
        <v>2.5988097389263718</v>
      </c>
      <c r="R95" s="10">
        <f t="shared" si="63"/>
        <v>1.2994048694631859</v>
      </c>
      <c r="S95" s="10">
        <f t="shared" si="64"/>
        <v>5.0342709479187153</v>
      </c>
      <c r="V95">
        <f t="shared" si="75"/>
        <v>5400</v>
      </c>
      <c r="W95" s="5">
        <v>90</v>
      </c>
      <c r="X95" s="8">
        <f t="shared" si="76"/>
        <v>2.4459196245233206</v>
      </c>
      <c r="Y95" s="9">
        <f t="shared" si="77"/>
        <v>4.0166723379290108</v>
      </c>
      <c r="Z95" s="10">
        <f t="shared" si="78"/>
        <v>3.2492540921091226</v>
      </c>
      <c r="AA95" s="10">
        <f t="shared" si="65"/>
        <v>1.6246270460545613</v>
      </c>
      <c r="AB95" s="10">
        <f t="shared" si="66"/>
        <v>6.2942758884183148</v>
      </c>
    </row>
    <row r="96" spans="3:28" x14ac:dyDescent="0.3">
      <c r="D96">
        <f t="shared" si="67"/>
        <v>7200</v>
      </c>
      <c r="E96" s="5">
        <v>120</v>
      </c>
      <c r="F96" s="8">
        <f t="shared" si="68"/>
        <v>3.0310882956878853</v>
      </c>
      <c r="G96" s="9">
        <f t="shared" si="69"/>
        <v>6.4466095629216777</v>
      </c>
      <c r="H96" s="10">
        <f t="shared" si="70"/>
        <v>4.3204102082722207</v>
      </c>
      <c r="I96" s="10">
        <f t="shared" si="61"/>
        <v>2.1602051041361103</v>
      </c>
      <c r="J96" s="10">
        <f>(I96/25.81118265)*100</f>
        <v>8.3692604613609607</v>
      </c>
      <c r="M96">
        <f t="shared" si="71"/>
        <v>7200</v>
      </c>
      <c r="N96" s="5">
        <v>120</v>
      </c>
      <c r="O96" s="8">
        <f t="shared" si="72"/>
        <v>2.4564857729539455</v>
      </c>
      <c r="P96" s="9">
        <f t="shared" si="73"/>
        <v>5.2464628923437964</v>
      </c>
      <c r="Q96" s="10">
        <f t="shared" si="74"/>
        <v>3.5057783514227046</v>
      </c>
      <c r="R96" s="10">
        <f t="shared" si="63"/>
        <v>1.7528891757113523</v>
      </c>
      <c r="S96" s="10">
        <f>(R96/25.81118265)*100</f>
        <v>6.7912005407909977</v>
      </c>
      <c r="V96">
        <f t="shared" si="75"/>
        <v>7200</v>
      </c>
      <c r="W96" s="5">
        <v>120</v>
      </c>
      <c r="X96" s="8">
        <f t="shared" si="76"/>
        <v>3.7316075095335877</v>
      </c>
      <c r="Y96" s="9">
        <f t="shared" si="77"/>
        <v>6.4625919624523309</v>
      </c>
      <c r="Z96" s="10">
        <f t="shared" si="78"/>
        <v>5.0241259020240534</v>
      </c>
      <c r="AA96" s="10">
        <f t="shared" si="65"/>
        <v>2.5120629510120267</v>
      </c>
      <c r="AB96" s="10">
        <f>(AA96/25.81118265)*100</f>
        <v>9.7324597058400446</v>
      </c>
    </row>
    <row r="97" spans="3:26" x14ac:dyDescent="0.3">
      <c r="G97" s="11" t="s">
        <v>31</v>
      </c>
      <c r="H97">
        <f>SLOPE(I93:I96,D93:D96)</f>
        <v>2.6165615527525178E-4</v>
      </c>
      <c r="P97" s="11" t="s">
        <v>31</v>
      </c>
      <c r="Q97">
        <f>SLOPE(R93:R96,M93:M96)</f>
        <v>2.1173781819367035E-4</v>
      </c>
      <c r="Y97" s="11" t="s">
        <v>31</v>
      </c>
      <c r="Z97">
        <f>SLOPE(AA93:AA96,V93:V96)</f>
        <v>3.3132428864769719E-4</v>
      </c>
    </row>
    <row r="98" spans="3:26" ht="16.2" x14ac:dyDescent="0.35">
      <c r="D98" t="s">
        <v>32</v>
      </c>
    </row>
    <row r="99" spans="3:26" ht="16.2" x14ac:dyDescent="0.35">
      <c r="D99" t="s">
        <v>33</v>
      </c>
    </row>
    <row r="100" spans="3:26" ht="16.2" x14ac:dyDescent="0.35">
      <c r="D100" t="s">
        <v>34</v>
      </c>
    </row>
    <row r="101" spans="3:26" x14ac:dyDescent="0.3">
      <c r="D101" t="s">
        <v>35</v>
      </c>
    </row>
    <row r="102" spans="3:26" ht="16.2" x14ac:dyDescent="0.35">
      <c r="D102" t="s">
        <v>36</v>
      </c>
    </row>
    <row r="104" spans="3:26" s="12" customFormat="1" x14ac:dyDescent="0.3"/>
    <row r="106" spans="3:26" x14ac:dyDescent="0.3">
      <c r="C106" t="s">
        <v>10</v>
      </c>
      <c r="H106" t="s">
        <v>2</v>
      </c>
      <c r="I106" t="s">
        <v>3</v>
      </c>
      <c r="K106" t="s">
        <v>37</v>
      </c>
      <c r="L106" t="s">
        <v>40</v>
      </c>
    </row>
    <row r="107" spans="3:26" x14ac:dyDescent="0.3">
      <c r="C107">
        <v>0</v>
      </c>
      <c r="E107">
        <v>88.584670000000003</v>
      </c>
      <c r="F107">
        <v>86.678889999999996</v>
      </c>
      <c r="G107">
        <v>79.611040000000003</v>
      </c>
      <c r="H107">
        <f t="shared" ref="H107:H114" si="79">AVERAGE(E107:G107)</f>
        <v>84.958199999999991</v>
      </c>
      <c r="I107">
        <f t="shared" ref="I107:I114" si="80">STDEV(E107:G107)</f>
        <v>4.7277996363318939</v>
      </c>
      <c r="K107">
        <f>(H107+1.7384)/13.636</f>
        <v>6.3579202112056317</v>
      </c>
      <c r="L107">
        <f>K107*4</f>
        <v>25.431680844822527</v>
      </c>
    </row>
    <row r="108" spans="3:26" x14ac:dyDescent="0.3">
      <c r="C108">
        <v>120</v>
      </c>
      <c r="E108">
        <v>11.73465</v>
      </c>
      <c r="F108">
        <v>13.34409</v>
      </c>
      <c r="G108">
        <v>11.643990000000001</v>
      </c>
      <c r="H108">
        <f t="shared" si="79"/>
        <v>12.24091</v>
      </c>
      <c r="I108">
        <f t="shared" si="80"/>
        <v>0.95645668652584526</v>
      </c>
      <c r="K108">
        <f>(H108+1.7384)/13.636</f>
        <v>1.0251767380463479</v>
      </c>
      <c r="L108">
        <f>K108*4</f>
        <v>4.1007069521853916</v>
      </c>
    </row>
    <row r="112" spans="3:26" x14ac:dyDescent="0.3">
      <c r="C112" t="s">
        <v>11</v>
      </c>
    </row>
    <row r="113" spans="3:12" x14ac:dyDescent="0.3">
      <c r="C113">
        <v>0</v>
      </c>
      <c r="E113">
        <v>171.65742</v>
      </c>
      <c r="F113">
        <v>175.18279000000001</v>
      </c>
      <c r="G113">
        <v>175.88651999999999</v>
      </c>
      <c r="H113">
        <f t="shared" si="79"/>
        <v>174.24224333333333</v>
      </c>
      <c r="I113">
        <f t="shared" si="80"/>
        <v>2.2660081038322266</v>
      </c>
      <c r="K113">
        <f>(H113+1.7384)/13.636</f>
        <v>12.905591326879829</v>
      </c>
      <c r="L113">
        <f>K113*2</f>
        <v>25.811182653759658</v>
      </c>
    </row>
    <row r="114" spans="3:12" x14ac:dyDescent="0.3">
      <c r="C114">
        <v>120</v>
      </c>
      <c r="E114">
        <v>106.83725</v>
      </c>
      <c r="F114">
        <v>124.56091000000001</v>
      </c>
      <c r="G114">
        <v>116.87991</v>
      </c>
      <c r="H114">
        <f t="shared" si="79"/>
        <v>116.09269</v>
      </c>
      <c r="I114">
        <f t="shared" si="80"/>
        <v>8.8880153828174766</v>
      </c>
      <c r="K114">
        <f>(H114+1.7384)/13.636</f>
        <v>8.6411770313875049</v>
      </c>
      <c r="L114">
        <f>K114*2</f>
        <v>17.28235406277501</v>
      </c>
    </row>
    <row r="116" spans="3:12" x14ac:dyDescent="0.3">
      <c r="F116" s="1"/>
    </row>
    <row r="117" spans="3:12" x14ac:dyDescent="0.3">
      <c r="H117" t="s">
        <v>2</v>
      </c>
    </row>
    <row r="118" spans="3:12" x14ac:dyDescent="0.3">
      <c r="C118" t="s">
        <v>16</v>
      </c>
      <c r="D118" t="s">
        <v>17</v>
      </c>
      <c r="E118">
        <v>388.92358000000002</v>
      </c>
      <c r="F118">
        <v>388.35651000000001</v>
      </c>
      <c r="G118">
        <v>389.52154999999999</v>
      </c>
      <c r="H118">
        <f>AVERAGE(E118:G118)</f>
        <v>388.93387999999999</v>
      </c>
    </row>
    <row r="119" spans="3:12" x14ac:dyDescent="0.3">
      <c r="D119" t="s">
        <v>38</v>
      </c>
      <c r="E119">
        <f>(E118+1.7384)/13.636</f>
        <v>28.649309181578179</v>
      </c>
      <c r="F119">
        <f>(F118+1.7384)/13.636</f>
        <v>28.607722939278386</v>
      </c>
      <c r="G119">
        <f>(G118+1.7384)/13.636</f>
        <v>28.693161484306248</v>
      </c>
      <c r="H119">
        <f t="shared" ref="H119:H120" si="81">AVERAGE(E119:G119)</f>
        <v>28.65006453505427</v>
      </c>
    </row>
    <row r="120" spans="3:12" x14ac:dyDescent="0.3">
      <c r="D120" t="s">
        <v>39</v>
      </c>
      <c r="E120">
        <f>E119/4</f>
        <v>7.1623272953945447</v>
      </c>
      <c r="F120">
        <f t="shared" ref="F120:G120" si="82">F119/4</f>
        <v>7.1519307348195964</v>
      </c>
      <c r="G120">
        <f t="shared" si="82"/>
        <v>7.1732903710765621</v>
      </c>
      <c r="H120">
        <f t="shared" si="81"/>
        <v>7.1625161337635674</v>
      </c>
    </row>
  </sheetData>
  <mergeCells count="6">
    <mergeCell ref="J17:K17"/>
    <mergeCell ref="J75:K75"/>
    <mergeCell ref="V21:W21"/>
    <mergeCell ref="V14:Z14"/>
    <mergeCell ref="V76:W76"/>
    <mergeCell ref="V68:Z6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20"/>
  <sheetViews>
    <sheetView topLeftCell="A33" zoomScale="65" zoomScaleNormal="65" zoomScalePageLayoutView="65" workbookViewId="0">
      <selection activeCell="V68" sqref="V68:X68"/>
    </sheetView>
  </sheetViews>
  <sheetFormatPr defaultColWidth="11" defaultRowHeight="15.6" x14ac:dyDescent="0.3"/>
  <cols>
    <col min="6" max="6" width="14.19921875" bestFit="1" customWidth="1"/>
    <col min="11" max="13" width="14.19921875" bestFit="1" customWidth="1"/>
    <col min="15" max="15" width="12.5" bestFit="1" customWidth="1"/>
    <col min="22" max="22" width="12.5" bestFit="1" customWidth="1"/>
    <col min="23" max="23" width="11.5" bestFit="1" customWidth="1"/>
    <col min="24" max="24" width="12.5" bestFit="1" customWidth="1"/>
  </cols>
  <sheetData>
    <row r="3" spans="3:26" x14ac:dyDescent="0.3">
      <c r="C3" t="s">
        <v>52</v>
      </c>
      <c r="D3" t="s">
        <v>13</v>
      </c>
    </row>
    <row r="5" spans="3:26" x14ac:dyDescent="0.3">
      <c r="C5" t="s">
        <v>7</v>
      </c>
      <c r="D5" t="s">
        <v>1</v>
      </c>
      <c r="E5" t="s">
        <v>0</v>
      </c>
    </row>
    <row r="6" spans="3:26" x14ac:dyDescent="0.3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</row>
    <row r="7" spans="3:26" x14ac:dyDescent="0.3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3:26" x14ac:dyDescent="0.3">
      <c r="C8">
        <v>15</v>
      </c>
      <c r="E8">
        <v>0.60635300000000003</v>
      </c>
      <c r="F8">
        <v>0.118489</v>
      </c>
      <c r="G8">
        <v>1.09979</v>
      </c>
      <c r="H8">
        <f>AVERAGE(E8:G8)</f>
        <v>0.60821066666666668</v>
      </c>
      <c r="I8">
        <f>STDEV(E8:G8)</f>
        <v>0.49065313750584877</v>
      </c>
      <c r="J8">
        <f>I8/H8</f>
        <v>0.80671577201186118</v>
      </c>
      <c r="K8">
        <f>J8*100</f>
        <v>80.671577201186125</v>
      </c>
    </row>
    <row r="9" spans="3:26" x14ac:dyDescent="0.3">
      <c r="C9">
        <v>30</v>
      </c>
      <c r="E9">
        <v>4.8783300000000001</v>
      </c>
      <c r="F9">
        <v>3.5399600000000002</v>
      </c>
      <c r="G9">
        <v>4.46225</v>
      </c>
      <c r="H9">
        <f t="shared" ref="H9:H12" si="0">AVERAGE(E9:G9)</f>
        <v>4.2935133333333333</v>
      </c>
      <c r="I9">
        <f t="shared" ref="I9:I12" si="1">STDEV(E9:G9)</f>
        <v>0.68495445924041776</v>
      </c>
      <c r="J9">
        <f t="shared" ref="J9:J12" si="2">I9/H9</f>
        <v>0.15953239365129515</v>
      </c>
      <c r="K9">
        <f t="shared" ref="K9:K12" si="3">J9*100</f>
        <v>15.953239365129516</v>
      </c>
    </row>
    <row r="10" spans="3:26" x14ac:dyDescent="0.3">
      <c r="C10">
        <v>60</v>
      </c>
      <c r="E10">
        <v>5.9671099999999999</v>
      </c>
      <c r="F10">
        <v>9.0242500000000003</v>
      </c>
      <c r="G10">
        <v>5.6849400000000001</v>
      </c>
      <c r="H10">
        <f t="shared" si="0"/>
        <v>6.8921000000000001</v>
      </c>
      <c r="I10">
        <f t="shared" si="1"/>
        <v>1.8518781531461495</v>
      </c>
      <c r="J10">
        <f t="shared" si="2"/>
        <v>0.26869577532916666</v>
      </c>
      <c r="K10">
        <f t="shared" si="3"/>
        <v>26.869577532916665</v>
      </c>
      <c r="U10" s="16"/>
      <c r="V10" s="16"/>
    </row>
    <row r="11" spans="3:26" x14ac:dyDescent="0.3">
      <c r="C11">
        <v>90</v>
      </c>
      <c r="E11">
        <v>5.7181800000000003</v>
      </c>
      <c r="F11">
        <v>9.0970800000000001</v>
      </c>
      <c r="G11">
        <v>6.0211100000000002</v>
      </c>
      <c r="H11">
        <f t="shared" si="0"/>
        <v>6.9454566666666677</v>
      </c>
      <c r="I11">
        <f t="shared" si="1"/>
        <v>1.8695063178907207</v>
      </c>
      <c r="J11">
        <f t="shared" si="2"/>
        <v>0.26916967560434768</v>
      </c>
      <c r="K11">
        <f t="shared" si="3"/>
        <v>26.916967560434767</v>
      </c>
      <c r="U11" s="22"/>
      <c r="V11" s="16"/>
    </row>
    <row r="12" spans="3:26" x14ac:dyDescent="0.3">
      <c r="C12">
        <v>120</v>
      </c>
      <c r="E12">
        <v>6.0945</v>
      </c>
      <c r="F12">
        <v>10.599740000000001</v>
      </c>
      <c r="G12">
        <v>6.6113099999999996</v>
      </c>
      <c r="H12">
        <f t="shared" si="0"/>
        <v>7.7685166666666667</v>
      </c>
      <c r="I12">
        <f t="shared" si="1"/>
        <v>2.4654902791196207</v>
      </c>
      <c r="J12">
        <f t="shared" si="2"/>
        <v>0.31736950371730605</v>
      </c>
      <c r="K12">
        <f t="shared" si="3"/>
        <v>31.736950371730604</v>
      </c>
    </row>
    <row r="14" spans="3:26" x14ac:dyDescent="0.3">
      <c r="V14" s="26" t="s">
        <v>13</v>
      </c>
      <c r="W14" s="26"/>
      <c r="X14" s="26"/>
      <c r="Y14" s="26"/>
      <c r="Z14" s="26"/>
    </row>
    <row r="15" spans="3:26" x14ac:dyDescent="0.3">
      <c r="V15">
        <v>1</v>
      </c>
      <c r="W15">
        <v>2</v>
      </c>
      <c r="X15">
        <v>3</v>
      </c>
      <c r="Y15" t="s">
        <v>2</v>
      </c>
      <c r="Z15" t="s">
        <v>3</v>
      </c>
    </row>
    <row r="16" spans="3:26" x14ac:dyDescent="0.3">
      <c r="U16" s="4" t="s">
        <v>41</v>
      </c>
      <c r="V16">
        <f>F46*(1/(1.12*L107))</f>
        <v>1.3154660063538862E-6</v>
      </c>
      <c r="W16">
        <f>O46*(1/(1.12*L107))</f>
        <v>3.3653424858017968E-6</v>
      </c>
      <c r="X16">
        <f>X46*(1/(1.12*L107))</f>
        <v>1.6374009183577401E-6</v>
      </c>
      <c r="Y16" s="13">
        <f>AVERAGE(V16:X16)</f>
        <v>2.1060698035044745E-6</v>
      </c>
      <c r="Z16">
        <f>STDEV(V16:X16)</f>
        <v>1.1023775615354987E-6</v>
      </c>
    </row>
    <row r="17" spans="1:23" x14ac:dyDescent="0.3">
      <c r="J17" s="26"/>
      <c r="K17" s="26"/>
    </row>
    <row r="18" spans="1:23" x14ac:dyDescent="0.3">
      <c r="C18" t="s">
        <v>7</v>
      </c>
      <c r="E18">
        <v>1</v>
      </c>
      <c r="F18">
        <v>2</v>
      </c>
      <c r="G18">
        <v>3</v>
      </c>
      <c r="H18" t="s">
        <v>2</v>
      </c>
      <c r="I18" t="s">
        <v>3</v>
      </c>
    </row>
    <row r="19" spans="1:23" x14ac:dyDescent="0.3">
      <c r="C19">
        <f t="shared" ref="C19:C24" si="4">C7</f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23" x14ac:dyDescent="0.3">
      <c r="C20">
        <f t="shared" si="4"/>
        <v>15</v>
      </c>
      <c r="E20">
        <f>(E8+1.6545)/36.957</f>
        <v>6.1175230673485403E-2</v>
      </c>
      <c r="F20">
        <f t="shared" ref="F20:G20" si="5">(F8+1.6545)/36.957</f>
        <v>4.7974375625727199E-2</v>
      </c>
      <c r="G20">
        <f t="shared" si="5"/>
        <v>7.4526882593284091E-2</v>
      </c>
      <c r="H20">
        <f>AVERAGE(E20:G20)</f>
        <v>6.1225496297498905E-2</v>
      </c>
      <c r="I20">
        <f>STDEV(E20:G20)</f>
        <v>1.327632485066018E-2</v>
      </c>
    </row>
    <row r="21" spans="1:23" x14ac:dyDescent="0.3">
      <c r="C21">
        <f t="shared" si="4"/>
        <v>30</v>
      </c>
      <c r="E21">
        <f t="shared" ref="E21:G21" si="6">(E9+1.6545)/36.957</f>
        <v>0.17676840652650377</v>
      </c>
      <c r="F21">
        <f t="shared" si="6"/>
        <v>0.1405541575344319</v>
      </c>
      <c r="G21">
        <f t="shared" si="6"/>
        <v>0.16550991693048678</v>
      </c>
      <c r="H21">
        <f t="shared" ref="H21:H31" si="7">AVERAGE(E21:G21)</f>
        <v>0.16094416033047415</v>
      </c>
      <c r="I21">
        <f t="shared" ref="I21:I31" si="8">STDEV(E21:G21)</f>
        <v>1.8533821988809103E-2</v>
      </c>
      <c r="V21" s="26" t="s">
        <v>29</v>
      </c>
      <c r="W21" s="26"/>
    </row>
    <row r="22" spans="1:23" x14ac:dyDescent="0.3">
      <c r="C22">
        <f t="shared" si="4"/>
        <v>60</v>
      </c>
      <c r="E22">
        <f t="shared" ref="E22:G22" si="9">(E10+1.6545)/36.957</f>
        <v>0.20622913115242039</v>
      </c>
      <c r="F22">
        <f t="shared" si="9"/>
        <v>0.28895067240306305</v>
      </c>
      <c r="G22">
        <f t="shared" si="9"/>
        <v>0.19859404172416592</v>
      </c>
      <c r="H22">
        <f t="shared" si="7"/>
        <v>0.23125794842654979</v>
      </c>
      <c r="I22">
        <f t="shared" si="8"/>
        <v>5.0108995674598915E-2</v>
      </c>
      <c r="U22" s="4" t="s">
        <v>24</v>
      </c>
      <c r="V22" t="s">
        <v>45</v>
      </c>
      <c r="W22" t="s">
        <v>3</v>
      </c>
    </row>
    <row r="23" spans="1:23" x14ac:dyDescent="0.3">
      <c r="C23">
        <f t="shared" si="4"/>
        <v>90</v>
      </c>
      <c r="E23">
        <f t="shared" ref="E23:G23" si="10">(E11+1.6545)/36.957</f>
        <v>0.19949346537868334</v>
      </c>
      <c r="F23">
        <f t="shared" si="10"/>
        <v>0.29092134101793976</v>
      </c>
      <c r="G23">
        <f t="shared" si="10"/>
        <v>0.20769028871391076</v>
      </c>
      <c r="H23">
        <f t="shared" si="7"/>
        <v>0.23270169837017796</v>
      </c>
      <c r="I23">
        <f t="shared" si="8"/>
        <v>5.0585986900742064E-2</v>
      </c>
      <c r="U23">
        <v>0</v>
      </c>
      <c r="V23" s="21">
        <f>AVERAGE(G40,P40,Y40)</f>
        <v>0</v>
      </c>
      <c r="W23" s="21">
        <f>STDEV(G40,P40,Y40)</f>
        <v>0</v>
      </c>
    </row>
    <row r="24" spans="1:23" x14ac:dyDescent="0.3">
      <c r="C24">
        <f t="shared" si="4"/>
        <v>120</v>
      </c>
      <c r="E24">
        <f t="shared" ref="E24:G24" si="11">(E12+1.6545)/36.957</f>
        <v>0.20967611007386963</v>
      </c>
      <c r="F24">
        <f t="shared" si="11"/>
        <v>0.33158102659847932</v>
      </c>
      <c r="G24">
        <f t="shared" si="11"/>
        <v>0.22366019969153339</v>
      </c>
      <c r="H24">
        <f t="shared" si="7"/>
        <v>0.25497244545462744</v>
      </c>
      <c r="I24">
        <f t="shared" si="8"/>
        <v>6.6712403039197302E-2</v>
      </c>
      <c r="U24">
        <v>15</v>
      </c>
      <c r="V24" s="21">
        <f t="shared" ref="V24:V28" si="12">AVERAGE(G41,P41,Y41)</f>
        <v>0.18367648889249666</v>
      </c>
      <c r="W24" s="21">
        <f t="shared" ref="W24:W28" si="13">STDEV(G41,P41,Y41)</f>
        <v>3.9828974551980777E-2</v>
      </c>
    </row>
    <row r="25" spans="1:23" x14ac:dyDescent="0.3">
      <c r="U25">
        <v>30</v>
      </c>
      <c r="V25" s="21">
        <f t="shared" si="12"/>
        <v>0.50732267951042198</v>
      </c>
      <c r="W25" s="21">
        <f t="shared" si="13"/>
        <v>5.9294820877641631E-2</v>
      </c>
    </row>
    <row r="26" spans="1:23" x14ac:dyDescent="0.3">
      <c r="A26" t="s">
        <v>42</v>
      </c>
      <c r="C26">
        <f>C19</f>
        <v>0</v>
      </c>
      <c r="E26">
        <v>0</v>
      </c>
      <c r="F26">
        <v>0</v>
      </c>
      <c r="G26">
        <v>0</v>
      </c>
      <c r="H26">
        <f t="shared" si="7"/>
        <v>0</v>
      </c>
      <c r="I26">
        <f t="shared" si="8"/>
        <v>0</v>
      </c>
      <c r="U26">
        <v>60</v>
      </c>
      <c r="V26" s="21">
        <f t="shared" si="12"/>
        <v>0.78264170793083865</v>
      </c>
      <c r="W26" s="21">
        <f t="shared" si="13"/>
        <v>0.13867613321540803</v>
      </c>
    </row>
    <row r="27" spans="1:23" x14ac:dyDescent="0.3">
      <c r="C27">
        <f t="shared" ref="C27:C31" si="14">C20</f>
        <v>15</v>
      </c>
      <c r="E27">
        <f>E20*2</f>
        <v>0.12235046134697081</v>
      </c>
      <c r="F27">
        <f t="shared" ref="F27:G27" si="15">F20*2</f>
        <v>9.5948751251454398E-2</v>
      </c>
      <c r="G27">
        <f t="shared" si="15"/>
        <v>0.14905376518656818</v>
      </c>
      <c r="H27">
        <f t="shared" si="7"/>
        <v>0.12245099259499781</v>
      </c>
      <c r="I27">
        <f t="shared" si="8"/>
        <v>2.6552649701320361E-2</v>
      </c>
      <c r="U27">
        <v>90</v>
      </c>
      <c r="V27" s="21">
        <f t="shared" si="12"/>
        <v>0.87947613713234307</v>
      </c>
      <c r="W27" s="21">
        <f t="shared" si="13"/>
        <v>0.15998238975224016</v>
      </c>
    </row>
    <row r="28" spans="1:23" x14ac:dyDescent="0.3">
      <c r="C28">
        <f t="shared" si="14"/>
        <v>30</v>
      </c>
      <c r="E28">
        <f t="shared" ref="E28:G31" si="16">E21*2</f>
        <v>0.35353681305300755</v>
      </c>
      <c r="F28">
        <f t="shared" si="16"/>
        <v>0.2811083150688638</v>
      </c>
      <c r="G28">
        <f t="shared" si="16"/>
        <v>0.33101983386097356</v>
      </c>
      <c r="H28">
        <f t="shared" si="7"/>
        <v>0.3218883206609483</v>
      </c>
      <c r="I28">
        <f t="shared" si="8"/>
        <v>3.7067643977618206E-2</v>
      </c>
      <c r="U28">
        <v>120</v>
      </c>
      <c r="V28" s="21">
        <f t="shared" si="12"/>
        <v>1.0393690577337626</v>
      </c>
      <c r="W28" s="21">
        <f t="shared" si="13"/>
        <v>0.22854871879617361</v>
      </c>
    </row>
    <row r="29" spans="1:23" x14ac:dyDescent="0.3">
      <c r="C29">
        <f t="shared" si="14"/>
        <v>60</v>
      </c>
      <c r="E29">
        <f t="shared" si="16"/>
        <v>0.41245826230484078</v>
      </c>
      <c r="F29">
        <f t="shared" si="16"/>
        <v>0.57790134480612609</v>
      </c>
      <c r="G29">
        <f t="shared" si="16"/>
        <v>0.39718808344833184</v>
      </c>
      <c r="H29">
        <f t="shared" si="7"/>
        <v>0.46251589685309957</v>
      </c>
      <c r="I29">
        <f t="shared" si="8"/>
        <v>0.10021799134919783</v>
      </c>
      <c r="V29" t="s">
        <v>46</v>
      </c>
      <c r="W29" s="21">
        <f>AVERAGE(F46,O46,X46)</f>
        <v>9.4054086881751472E-5</v>
      </c>
    </row>
    <row r="30" spans="1:23" x14ac:dyDescent="0.3">
      <c r="C30">
        <f t="shared" si="14"/>
        <v>90</v>
      </c>
      <c r="E30">
        <f t="shared" si="16"/>
        <v>0.39898693075736669</v>
      </c>
      <c r="F30">
        <f t="shared" si="16"/>
        <v>0.58184268203587952</v>
      </c>
      <c r="G30">
        <f t="shared" si="16"/>
        <v>0.41538057742782153</v>
      </c>
      <c r="H30">
        <f t="shared" si="7"/>
        <v>0.46540339674035591</v>
      </c>
      <c r="I30">
        <f t="shared" si="8"/>
        <v>0.10117197380148413</v>
      </c>
    </row>
    <row r="31" spans="1:23" x14ac:dyDescent="0.3">
      <c r="C31">
        <f t="shared" si="14"/>
        <v>120</v>
      </c>
      <c r="E31">
        <f t="shared" si="16"/>
        <v>0.41935222014773926</v>
      </c>
      <c r="F31">
        <f t="shared" si="16"/>
        <v>0.66316205319695865</v>
      </c>
      <c r="G31">
        <f t="shared" si="16"/>
        <v>0.44732039938306678</v>
      </c>
      <c r="H31">
        <f t="shared" si="7"/>
        <v>0.50994489090925488</v>
      </c>
      <c r="I31">
        <f t="shared" si="8"/>
        <v>0.1334248060783946</v>
      </c>
    </row>
    <row r="35" spans="2:26" ht="16.2" x14ac:dyDescent="0.35">
      <c r="B35" s="4"/>
      <c r="C35" s="4" t="s">
        <v>18</v>
      </c>
      <c r="D35" s="4" t="s">
        <v>19</v>
      </c>
      <c r="K35" s="4"/>
      <c r="L35" s="4" t="s">
        <v>18</v>
      </c>
      <c r="M35" s="4" t="s">
        <v>19</v>
      </c>
      <c r="T35" s="4"/>
      <c r="U35" s="4" t="s">
        <v>18</v>
      </c>
      <c r="V35" s="4" t="s">
        <v>19</v>
      </c>
    </row>
    <row r="36" spans="2:26" x14ac:dyDescent="0.3">
      <c r="B36" s="5"/>
      <c r="C36" s="5">
        <v>1.5</v>
      </c>
      <c r="D36" s="5">
        <v>0.2</v>
      </c>
      <c r="E36" s="3"/>
      <c r="F36" s="3"/>
      <c r="G36" s="3"/>
      <c r="H36" s="3"/>
      <c r="K36" s="5"/>
      <c r="L36" s="5">
        <v>1.5</v>
      </c>
      <c r="M36" s="5">
        <v>0.2</v>
      </c>
      <c r="N36" s="20"/>
      <c r="O36" s="20"/>
      <c r="P36" s="20"/>
      <c r="Q36" s="20"/>
      <c r="T36" s="5"/>
      <c r="U36" s="5">
        <v>1.5</v>
      </c>
      <c r="V36" s="5">
        <v>0.2</v>
      </c>
      <c r="W36" s="20"/>
      <c r="X36" s="20"/>
      <c r="Y36" s="20"/>
      <c r="Z36" s="20"/>
    </row>
    <row r="37" spans="2:26" x14ac:dyDescent="0.3">
      <c r="B37" s="4"/>
      <c r="C37" s="6" t="s">
        <v>21</v>
      </c>
      <c r="D37" s="6" t="s">
        <v>21</v>
      </c>
      <c r="E37" s="3"/>
      <c r="F37" s="7"/>
      <c r="G37" s="3"/>
      <c r="H37" s="3"/>
      <c r="K37" s="4"/>
      <c r="L37" s="6" t="s">
        <v>21</v>
      </c>
      <c r="M37" s="6" t="s">
        <v>21</v>
      </c>
      <c r="N37" s="20"/>
      <c r="O37" s="7"/>
      <c r="P37" s="20"/>
      <c r="Q37" s="20"/>
      <c r="T37" s="4"/>
      <c r="U37" s="6" t="s">
        <v>21</v>
      </c>
      <c r="V37" s="6" t="s">
        <v>21</v>
      </c>
      <c r="W37" s="20"/>
      <c r="X37" s="7"/>
      <c r="Y37" s="20"/>
      <c r="Z37" s="20"/>
    </row>
    <row r="38" spans="2:26" x14ac:dyDescent="0.3">
      <c r="B38" s="3"/>
      <c r="C38" s="3"/>
      <c r="D38" s="4" t="s">
        <v>23</v>
      </c>
      <c r="E38" s="3"/>
      <c r="F38" s="3"/>
      <c r="G38" s="3"/>
      <c r="H38" s="3"/>
      <c r="K38" s="20"/>
      <c r="L38" s="20"/>
      <c r="M38" s="4" t="s">
        <v>23</v>
      </c>
      <c r="N38" s="20"/>
      <c r="O38" s="20"/>
      <c r="P38" s="20"/>
      <c r="Q38" s="20"/>
      <c r="T38" s="20"/>
      <c r="U38" s="20"/>
      <c r="V38" s="4" t="s">
        <v>23</v>
      </c>
      <c r="W38" s="20"/>
      <c r="X38" s="20"/>
      <c r="Y38" s="20"/>
      <c r="Z38" s="20"/>
    </row>
    <row r="39" spans="2:26" x14ac:dyDescent="0.3">
      <c r="B39" s="4" t="s">
        <v>24</v>
      </c>
      <c r="C39" s="4" t="s">
        <v>25</v>
      </c>
      <c r="D39" t="s">
        <v>26</v>
      </c>
      <c r="E39" s="4" t="s">
        <v>27</v>
      </c>
      <c r="F39" s="4" t="s">
        <v>28</v>
      </c>
      <c r="G39" s="4" t="s">
        <v>29</v>
      </c>
      <c r="H39" s="4" t="s">
        <v>30</v>
      </c>
      <c r="K39" s="4" t="s">
        <v>24</v>
      </c>
      <c r="L39" s="4" t="s">
        <v>25</v>
      </c>
      <c r="M39" t="s">
        <v>26</v>
      </c>
      <c r="N39" s="4" t="s">
        <v>27</v>
      </c>
      <c r="O39" s="4" t="s">
        <v>28</v>
      </c>
      <c r="P39" s="4" t="s">
        <v>29</v>
      </c>
      <c r="Q39" s="4" t="s">
        <v>30</v>
      </c>
      <c r="T39" s="4" t="s">
        <v>24</v>
      </c>
      <c r="U39" s="4" t="s">
        <v>25</v>
      </c>
      <c r="V39" t="s">
        <v>26</v>
      </c>
      <c r="W39" s="4" t="s">
        <v>27</v>
      </c>
      <c r="X39" s="4" t="s">
        <v>28</v>
      </c>
      <c r="Y39" s="4" t="s">
        <v>29</v>
      </c>
      <c r="Z39" s="4" t="s">
        <v>30</v>
      </c>
    </row>
    <row r="40" spans="2:26" x14ac:dyDescent="0.3">
      <c r="B40">
        <v>0</v>
      </c>
      <c r="C40" s="5">
        <v>0</v>
      </c>
      <c r="D40" s="8">
        <v>0</v>
      </c>
      <c r="E40" s="9">
        <v>0</v>
      </c>
      <c r="F40" s="10">
        <f>((1.5*D40)+(0.2*E40))/1.5</f>
        <v>0</v>
      </c>
      <c r="G40" s="10">
        <f>F40*1.5</f>
        <v>0</v>
      </c>
      <c r="H40" s="10">
        <v>0</v>
      </c>
      <c r="K40">
        <v>0</v>
      </c>
      <c r="L40" s="5">
        <v>0</v>
      </c>
      <c r="M40" s="8">
        <v>0</v>
      </c>
      <c r="N40" s="9">
        <v>0</v>
      </c>
      <c r="O40" s="10">
        <f>((1.5*M40)+(0.2*N40))/1.5</f>
        <v>0</v>
      </c>
      <c r="P40" s="10">
        <f>O40*1.5</f>
        <v>0</v>
      </c>
      <c r="Q40" s="10">
        <v>0</v>
      </c>
      <c r="T40">
        <v>0</v>
      </c>
      <c r="U40" s="5">
        <v>0</v>
      </c>
      <c r="V40" s="8">
        <v>0</v>
      </c>
      <c r="W40" s="9">
        <v>0</v>
      </c>
      <c r="X40" s="10">
        <f>((1.5*V40)+(0.2*W40))/1.5</f>
        <v>0</v>
      </c>
      <c r="Y40" s="10">
        <f>X40*1.5</f>
        <v>0</v>
      </c>
      <c r="Z40" s="10">
        <v>0</v>
      </c>
    </row>
    <row r="41" spans="2:26" x14ac:dyDescent="0.3">
      <c r="B41">
        <f>C41*60</f>
        <v>900</v>
      </c>
      <c r="C41" s="5">
        <v>15</v>
      </c>
      <c r="D41" s="8">
        <f>E27</f>
        <v>0.12235046134697081</v>
      </c>
      <c r="E41" s="9">
        <f>$D40+$E40</f>
        <v>0</v>
      </c>
      <c r="F41" s="10">
        <f t="shared" ref="F41:F45" si="17">((1.5*D41)+(0.2*E41))/1.5</f>
        <v>0.12235046134697081</v>
      </c>
      <c r="G41" s="10">
        <f t="shared" ref="G41:G44" si="18">F41*1.5</f>
        <v>0.18352569202045621</v>
      </c>
      <c r="H41" s="10">
        <f>(G41/39.87373218)*100</f>
        <v>0.46026715330276924</v>
      </c>
      <c r="K41">
        <f>L41*60</f>
        <v>900</v>
      </c>
      <c r="L41" s="5">
        <v>15</v>
      </c>
      <c r="M41" s="8">
        <f>F27</f>
        <v>9.5948751251454398E-2</v>
      </c>
      <c r="N41" s="9">
        <f>$M40+$N40</f>
        <v>0</v>
      </c>
      <c r="O41" s="10">
        <f t="shared" ref="O41:O45" si="19">((1.5*M41)+(0.2*N41))/1.5</f>
        <v>9.5948751251454398E-2</v>
      </c>
      <c r="P41" s="10">
        <f t="shared" ref="P41:P44" si="20">O41*1.5</f>
        <v>0.14392312687718159</v>
      </c>
      <c r="Q41" s="10">
        <f>(P41/39.87373218)*100</f>
        <v>0.36094721765064935</v>
      </c>
      <c r="T41">
        <f>U41*60</f>
        <v>900</v>
      </c>
      <c r="U41" s="5">
        <v>15</v>
      </c>
      <c r="V41" s="8">
        <f>G27</f>
        <v>0.14905376518656818</v>
      </c>
      <c r="W41" s="9">
        <f>$V40+$W40</f>
        <v>0</v>
      </c>
      <c r="X41" s="10">
        <f t="shared" ref="X41:X45" si="21">((1.5*V41)+(0.2*W41))/1.5</f>
        <v>0.14905376518656818</v>
      </c>
      <c r="Y41" s="10">
        <f t="shared" ref="Y41:Y44" si="22">X41*1.5</f>
        <v>0.22358064777985226</v>
      </c>
      <c r="Z41" s="10">
        <f>(Y41/39.87373218)*100</f>
        <v>0.56072164694930815</v>
      </c>
    </row>
    <row r="42" spans="2:26" x14ac:dyDescent="0.3">
      <c r="B42">
        <f t="shared" ref="B42:B45" si="23">C42*60</f>
        <v>1800</v>
      </c>
      <c r="C42" s="5">
        <v>30</v>
      </c>
      <c r="D42" s="8">
        <f t="shared" ref="D42:D45" si="24">E28</f>
        <v>0.35353681305300755</v>
      </c>
      <c r="E42" s="9">
        <f t="shared" ref="E42:E45" si="25">$D41+$E41</f>
        <v>0.12235046134697081</v>
      </c>
      <c r="F42" s="10">
        <f t="shared" si="17"/>
        <v>0.36985020789927026</v>
      </c>
      <c r="G42" s="10">
        <f t="shared" si="18"/>
        <v>0.55477531184890538</v>
      </c>
      <c r="H42" s="10">
        <f t="shared" ref="H42:H45" si="26">(G42/39.87373218)*100</f>
        <v>1.3913302856740646</v>
      </c>
      <c r="K42">
        <f t="shared" ref="K42:K45" si="27">L42*60</f>
        <v>1800</v>
      </c>
      <c r="L42" s="5">
        <v>30</v>
      </c>
      <c r="M42" s="8">
        <f t="shared" ref="M42:M45" si="28">F28</f>
        <v>0.2811083150688638</v>
      </c>
      <c r="N42" s="9">
        <f t="shared" ref="N42:N45" si="29">$M41+$N41</f>
        <v>9.5948751251454398E-2</v>
      </c>
      <c r="O42" s="10">
        <f t="shared" si="19"/>
        <v>0.29390148190239107</v>
      </c>
      <c r="P42" s="10">
        <f t="shared" si="20"/>
        <v>0.44085222285358661</v>
      </c>
      <c r="Q42" s="10">
        <f t="shared" ref="Q42:Q45" si="30">(P42/39.87373218)*100</f>
        <v>1.1056206649116</v>
      </c>
      <c r="T42">
        <f t="shared" ref="T42:T45" si="31">U42*60</f>
        <v>1800</v>
      </c>
      <c r="U42" s="5">
        <v>30</v>
      </c>
      <c r="V42" s="8">
        <f t="shared" ref="V42:V45" si="32">G28</f>
        <v>0.33101983386097356</v>
      </c>
      <c r="W42" s="9">
        <f t="shared" ref="W42:W45" si="33">$V41+$W41</f>
        <v>0.14905376518656818</v>
      </c>
      <c r="X42" s="10">
        <f t="shared" si="21"/>
        <v>0.35089366921918264</v>
      </c>
      <c r="Y42" s="10">
        <f t="shared" si="22"/>
        <v>0.52634050382877395</v>
      </c>
      <c r="Z42" s="10">
        <f t="shared" ref="Z42:Z45" si="34">(Y42/39.87373218)*100</f>
        <v>1.3200181549415573</v>
      </c>
    </row>
    <row r="43" spans="2:26" x14ac:dyDescent="0.3">
      <c r="B43">
        <f t="shared" si="23"/>
        <v>3600</v>
      </c>
      <c r="C43" s="5">
        <v>60</v>
      </c>
      <c r="D43" s="8">
        <f t="shared" si="24"/>
        <v>0.41245826230484078</v>
      </c>
      <c r="E43" s="9">
        <f t="shared" si="25"/>
        <v>0.47588727439997835</v>
      </c>
      <c r="F43" s="10">
        <f t="shared" si="17"/>
        <v>0.47590989889150465</v>
      </c>
      <c r="G43" s="10">
        <f t="shared" si="18"/>
        <v>0.71386484833725694</v>
      </c>
      <c r="H43" s="10">
        <f t="shared" si="26"/>
        <v>1.7903135957143226</v>
      </c>
      <c r="K43">
        <f t="shared" si="27"/>
        <v>3600</v>
      </c>
      <c r="L43" s="5">
        <v>60</v>
      </c>
      <c r="M43" s="8">
        <f t="shared" si="28"/>
        <v>0.57790134480612609</v>
      </c>
      <c r="N43" s="9">
        <f t="shared" si="29"/>
        <v>0.37705706632031821</v>
      </c>
      <c r="O43" s="10">
        <f t="shared" si="19"/>
        <v>0.62817562031550189</v>
      </c>
      <c r="P43" s="10">
        <f t="shared" si="20"/>
        <v>0.94226343047325289</v>
      </c>
      <c r="Q43" s="10">
        <f t="shared" si="30"/>
        <v>2.363118220836816</v>
      </c>
      <c r="T43">
        <f t="shared" si="31"/>
        <v>3600</v>
      </c>
      <c r="U43" s="5">
        <v>60</v>
      </c>
      <c r="V43" s="8">
        <f t="shared" si="32"/>
        <v>0.39718808344833184</v>
      </c>
      <c r="W43" s="9">
        <f t="shared" si="33"/>
        <v>0.48007359904754177</v>
      </c>
      <c r="X43" s="10">
        <f t="shared" si="21"/>
        <v>0.46119789665467076</v>
      </c>
      <c r="Y43" s="10">
        <f t="shared" si="22"/>
        <v>0.69179684498200611</v>
      </c>
      <c r="Z43" s="10">
        <f t="shared" si="34"/>
        <v>1.7349688809140367</v>
      </c>
    </row>
    <row r="44" spans="2:26" x14ac:dyDescent="0.3">
      <c r="B44">
        <f t="shared" si="23"/>
        <v>5400</v>
      </c>
      <c r="C44" s="5">
        <v>90</v>
      </c>
      <c r="D44" s="8">
        <f t="shared" si="24"/>
        <v>0.39898693075736669</v>
      </c>
      <c r="E44" s="9">
        <f t="shared" si="25"/>
        <v>0.88834553670481919</v>
      </c>
      <c r="F44" s="10">
        <f t="shared" si="17"/>
        <v>0.51743300231800926</v>
      </c>
      <c r="G44" s="10">
        <f t="shared" si="18"/>
        <v>0.77614950347701384</v>
      </c>
      <c r="H44" s="10">
        <f t="shared" si="26"/>
        <v>1.9465183243276074</v>
      </c>
      <c r="K44">
        <f t="shared" si="27"/>
        <v>5400</v>
      </c>
      <c r="L44" s="5">
        <v>90</v>
      </c>
      <c r="M44" s="8">
        <f t="shared" si="28"/>
        <v>0.58184268203587952</v>
      </c>
      <c r="N44" s="9">
        <f t="shared" si="29"/>
        <v>0.95495841112644431</v>
      </c>
      <c r="O44" s="10">
        <f t="shared" si="19"/>
        <v>0.70917047018607215</v>
      </c>
      <c r="P44" s="10">
        <f t="shared" si="20"/>
        <v>1.0637557052791082</v>
      </c>
      <c r="Q44" s="10">
        <f t="shared" si="30"/>
        <v>2.6678107293218725</v>
      </c>
      <c r="T44">
        <f t="shared" si="31"/>
        <v>5400</v>
      </c>
      <c r="U44" s="5">
        <v>90</v>
      </c>
      <c r="V44" s="8">
        <f t="shared" si="32"/>
        <v>0.41538057742782153</v>
      </c>
      <c r="W44" s="9">
        <f t="shared" si="33"/>
        <v>0.87726168249587366</v>
      </c>
      <c r="X44" s="10">
        <f t="shared" si="21"/>
        <v>0.53234880176060473</v>
      </c>
      <c r="Y44" s="10">
        <f t="shared" si="22"/>
        <v>0.79852320264090704</v>
      </c>
      <c r="Z44" s="10">
        <f t="shared" si="34"/>
        <v>2.0026296987605114</v>
      </c>
    </row>
    <row r="45" spans="2:26" x14ac:dyDescent="0.3">
      <c r="B45">
        <f t="shared" si="23"/>
        <v>7200</v>
      </c>
      <c r="C45" s="5">
        <v>120</v>
      </c>
      <c r="D45" s="8">
        <f t="shared" si="24"/>
        <v>0.41935222014773926</v>
      </c>
      <c r="E45" s="9">
        <f t="shared" si="25"/>
        <v>1.287332467462186</v>
      </c>
      <c r="F45" s="10">
        <f t="shared" si="17"/>
        <v>0.59099654914269739</v>
      </c>
      <c r="G45" s="10">
        <f>F45*1.5</f>
        <v>0.88649482371404609</v>
      </c>
      <c r="H45" s="10">
        <f t="shared" si="26"/>
        <v>2.2232551989670464</v>
      </c>
      <c r="K45">
        <f t="shared" si="27"/>
        <v>7200</v>
      </c>
      <c r="L45" s="5">
        <v>120</v>
      </c>
      <c r="M45" s="8">
        <f t="shared" si="28"/>
        <v>0.66316205319695865</v>
      </c>
      <c r="N45" s="9">
        <f t="shared" si="29"/>
        <v>1.5368010931623237</v>
      </c>
      <c r="O45" s="10">
        <f t="shared" si="19"/>
        <v>0.86806886561860175</v>
      </c>
      <c r="P45" s="10">
        <f>O45*1.5</f>
        <v>1.3021032984279026</v>
      </c>
      <c r="Q45" s="10">
        <f t="shared" si="30"/>
        <v>3.265566645604888</v>
      </c>
      <c r="T45">
        <f t="shared" si="31"/>
        <v>7200</v>
      </c>
      <c r="U45" s="5">
        <v>120</v>
      </c>
      <c r="V45" s="8">
        <f t="shared" si="32"/>
        <v>0.44732039938306678</v>
      </c>
      <c r="W45" s="9">
        <f t="shared" si="33"/>
        <v>1.2926422599236953</v>
      </c>
      <c r="X45" s="10">
        <f t="shared" si="21"/>
        <v>0.61967270070622615</v>
      </c>
      <c r="Y45" s="10">
        <f>X45*1.5</f>
        <v>0.92950905105933923</v>
      </c>
      <c r="Z45" s="10">
        <f t="shared" si="34"/>
        <v>2.3311312993308553</v>
      </c>
    </row>
    <row r="46" spans="2:26" x14ac:dyDescent="0.3">
      <c r="E46" s="11" t="s">
        <v>31</v>
      </c>
      <c r="F46">
        <f>SLOPE(G42:G45,B42:B45)</f>
        <v>5.8746843929732164E-5</v>
      </c>
      <c r="N46" s="11" t="s">
        <v>31</v>
      </c>
      <c r="O46">
        <f>SLOPE(P42:P45,K42:K45)</f>
        <v>1.5029141675160018E-4</v>
      </c>
      <c r="W46" s="11" t="s">
        <v>31</v>
      </c>
      <c r="X46">
        <f>SLOPE(Y42:Y45,T42:T45)</f>
        <v>7.3123999963922061E-5</v>
      </c>
    </row>
    <row r="47" spans="2:26" ht="16.2" x14ac:dyDescent="0.35">
      <c r="B47" t="s">
        <v>32</v>
      </c>
    </row>
    <row r="48" spans="2:26" ht="16.2" x14ac:dyDescent="0.35">
      <c r="B48" t="s">
        <v>33</v>
      </c>
    </row>
    <row r="49" spans="2:23" ht="16.2" x14ac:dyDescent="0.35">
      <c r="B49" t="s">
        <v>34</v>
      </c>
    </row>
    <row r="50" spans="2:23" x14ac:dyDescent="0.3">
      <c r="B50" t="s">
        <v>35</v>
      </c>
    </row>
    <row r="51" spans="2:23" ht="16.2" x14ac:dyDescent="0.35">
      <c r="B51" t="s">
        <v>36</v>
      </c>
    </row>
    <row r="53" spans="2:23" s="12" customFormat="1" x14ac:dyDescent="0.3"/>
    <row r="54" spans="2:23" x14ac:dyDescent="0.3">
      <c r="C54" s="2"/>
      <c r="D54" s="2"/>
      <c r="E54" s="2"/>
      <c r="F54" s="2"/>
      <c r="G54" s="2"/>
      <c r="H54" s="2"/>
      <c r="I54" s="2"/>
    </row>
    <row r="55" spans="2:23" x14ac:dyDescent="0.3">
      <c r="C55" t="s">
        <v>52</v>
      </c>
      <c r="D55" t="s">
        <v>14</v>
      </c>
    </row>
    <row r="57" spans="2:23" x14ac:dyDescent="0.3">
      <c r="C57" t="s">
        <v>7</v>
      </c>
      <c r="D57" t="s">
        <v>1</v>
      </c>
      <c r="E57" t="s">
        <v>0</v>
      </c>
    </row>
    <row r="58" spans="2:23" x14ac:dyDescent="0.3">
      <c r="E58">
        <v>1</v>
      </c>
      <c r="F58">
        <v>2</v>
      </c>
      <c r="G58">
        <v>3</v>
      </c>
      <c r="H58" t="s">
        <v>2</v>
      </c>
      <c r="I58" t="s">
        <v>3</v>
      </c>
      <c r="J58" t="s">
        <v>4</v>
      </c>
      <c r="K58" t="s">
        <v>5</v>
      </c>
    </row>
    <row r="59" spans="2:23" x14ac:dyDescent="0.3">
      <c r="C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2:23" x14ac:dyDescent="0.3">
      <c r="C60">
        <v>15</v>
      </c>
      <c r="E60">
        <v>5.1450500000000003</v>
      </c>
      <c r="F60">
        <v>6.0745500000000003</v>
      </c>
      <c r="G60">
        <v>4.20784</v>
      </c>
      <c r="H60">
        <f>AVERAGE(E60:G60)</f>
        <v>5.1424799999999999</v>
      </c>
      <c r="I60">
        <f>STDEV(E60:G60)</f>
        <v>0.93335765368908852</v>
      </c>
      <c r="J60">
        <f>I60/H60</f>
        <v>0.18149952040437464</v>
      </c>
      <c r="K60">
        <f>J60*100</f>
        <v>18.149952040437466</v>
      </c>
    </row>
    <row r="61" spans="2:23" x14ac:dyDescent="0.3">
      <c r="C61">
        <v>30</v>
      </c>
      <c r="E61">
        <v>13.070679999999999</v>
      </c>
      <c r="F61">
        <v>11.650740000000001</v>
      </c>
      <c r="G61">
        <v>13.934609999999999</v>
      </c>
      <c r="H61">
        <f t="shared" ref="H61:H64" si="35">AVERAGE(E61:G61)</f>
        <v>12.885343333333333</v>
      </c>
      <c r="I61">
        <f t="shared" ref="I61:I64" si="36">STDEV(E61:G61)</f>
        <v>1.1531599213610102</v>
      </c>
      <c r="J61">
        <f t="shared" ref="J61:J64" si="37">I61/H61</f>
        <v>8.9493922787286503E-2</v>
      </c>
      <c r="K61">
        <f t="shared" ref="K61:K64" si="38">J61*100</f>
        <v>8.9493922787286504</v>
      </c>
    </row>
    <row r="62" spans="2:23" x14ac:dyDescent="0.3">
      <c r="C62">
        <v>60</v>
      </c>
      <c r="E62">
        <v>21.255980000000001</v>
      </c>
      <c r="F62">
        <v>21.964490000000001</v>
      </c>
      <c r="G62">
        <v>21.50385</v>
      </c>
      <c r="H62">
        <f t="shared" si="35"/>
        <v>21.574773333333336</v>
      </c>
      <c r="I62">
        <f t="shared" si="36"/>
        <v>0.35954025425998354</v>
      </c>
      <c r="J62">
        <f t="shared" si="37"/>
        <v>1.6664845034755876E-2</v>
      </c>
      <c r="K62">
        <f t="shared" si="38"/>
        <v>1.6664845034755875</v>
      </c>
    </row>
    <row r="63" spans="2:23" x14ac:dyDescent="0.3">
      <c r="C63">
        <v>90</v>
      </c>
      <c r="E63">
        <v>35.985880000000002</v>
      </c>
      <c r="F63">
        <v>30.527899999999999</v>
      </c>
      <c r="G63">
        <v>34.543210000000002</v>
      </c>
      <c r="H63">
        <f t="shared" si="35"/>
        <v>33.685663333333331</v>
      </c>
      <c r="I63">
        <f t="shared" si="36"/>
        <v>2.8282372839338183</v>
      </c>
      <c r="J63">
        <f t="shared" si="37"/>
        <v>8.3959673168589877E-2</v>
      </c>
      <c r="K63">
        <f t="shared" si="38"/>
        <v>8.3959673168589877</v>
      </c>
    </row>
    <row r="64" spans="2:23" x14ac:dyDescent="0.3">
      <c r="C64">
        <v>120</v>
      </c>
      <c r="E64">
        <v>39.736359999999998</v>
      </c>
      <c r="F64">
        <v>43.275269999999999</v>
      </c>
      <c r="G64">
        <v>48.648789999999998</v>
      </c>
      <c r="H64">
        <f t="shared" si="35"/>
        <v>43.886806666666665</v>
      </c>
      <c r="I64">
        <f t="shared" si="36"/>
        <v>4.4875756202245025</v>
      </c>
      <c r="J64">
        <f t="shared" si="37"/>
        <v>0.10225340964789197</v>
      </c>
      <c r="K64">
        <f t="shared" si="38"/>
        <v>10.225340964789197</v>
      </c>
      <c r="V64" s="16"/>
      <c r="W64" s="16"/>
    </row>
    <row r="65" spans="2:26" x14ac:dyDescent="0.3">
      <c r="V65" s="22"/>
      <c r="W65" s="16"/>
    </row>
    <row r="66" spans="2:26" x14ac:dyDescent="0.3">
      <c r="C66">
        <v>15</v>
      </c>
      <c r="E66">
        <f>(E60+1.6545)/36.957</f>
        <v>0.18398544254133181</v>
      </c>
      <c r="F66">
        <f t="shared" ref="F66:G66" si="39">(F60+1.6545)/36.957</f>
        <v>0.20913629353031904</v>
      </c>
      <c r="G66">
        <f t="shared" si="39"/>
        <v>0.15862597072273182</v>
      </c>
      <c r="H66">
        <f t="shared" ref="H66:H71" si="40">AVERAGE(E66:G66)</f>
        <v>0.18391590226479423</v>
      </c>
      <c r="I66">
        <f t="shared" ref="I66:I69" si="41">STDEV(E66:G66)</f>
        <v>2.5255233208569126E-2</v>
      </c>
      <c r="J66">
        <f t="shared" ref="J66:J69" si="42">I66/H66</f>
        <v>0.13731946448115032</v>
      </c>
      <c r="K66">
        <f t="shared" ref="K66:K69" si="43">J66*100</f>
        <v>13.731946448115032</v>
      </c>
      <c r="V66" s="26" t="s">
        <v>14</v>
      </c>
      <c r="W66" s="26"/>
      <c r="X66" s="26"/>
      <c r="Y66" s="26"/>
      <c r="Z66" s="26"/>
    </row>
    <row r="67" spans="2:26" x14ac:dyDescent="0.3">
      <c r="C67">
        <v>30</v>
      </c>
      <c r="E67">
        <f t="shared" ref="E67:G67" si="44">(E61+1.6545)/36.957</f>
        <v>0.39844089076494305</v>
      </c>
      <c r="F67">
        <f t="shared" si="44"/>
        <v>0.36001948210081991</v>
      </c>
      <c r="G67">
        <f t="shared" si="44"/>
        <v>0.42181751765565384</v>
      </c>
      <c r="H67">
        <f t="shared" si="40"/>
        <v>0.39342596350713893</v>
      </c>
      <c r="I67">
        <f t="shared" si="41"/>
        <v>3.1202747013042448E-2</v>
      </c>
      <c r="J67">
        <f t="shared" si="42"/>
        <v>7.9310340209604036E-2</v>
      </c>
      <c r="K67">
        <f t="shared" si="43"/>
        <v>7.9310340209604036</v>
      </c>
      <c r="V67">
        <v>1</v>
      </c>
      <c r="W67">
        <v>2</v>
      </c>
      <c r="X67">
        <v>3</v>
      </c>
      <c r="Y67" t="s">
        <v>2</v>
      </c>
      <c r="Z67" t="s">
        <v>3</v>
      </c>
    </row>
    <row r="68" spans="2:26" x14ac:dyDescent="0.3">
      <c r="C68">
        <v>60</v>
      </c>
      <c r="E68">
        <f t="shared" ref="E68:G68" si="45">(E62+1.6545)/36.957</f>
        <v>0.61992261276618776</v>
      </c>
      <c r="F68">
        <f t="shared" si="45"/>
        <v>0.6390938117271423</v>
      </c>
      <c r="G68">
        <f t="shared" si="45"/>
        <v>0.62662959655816219</v>
      </c>
      <c r="H68">
        <f t="shared" si="40"/>
        <v>0.62854867368383083</v>
      </c>
      <c r="I68">
        <f t="shared" si="41"/>
        <v>9.7286103920767794E-3</v>
      </c>
      <c r="J68">
        <f t="shared" si="42"/>
        <v>1.5477895029288397E-2</v>
      </c>
      <c r="K68">
        <f t="shared" si="43"/>
        <v>1.5477895029288398</v>
      </c>
      <c r="U68" s="4" t="s">
        <v>41</v>
      </c>
      <c r="V68">
        <f>H97*(1/(1.12*L113))</f>
        <v>9.6994754064215386E-6</v>
      </c>
      <c r="W68">
        <f>Q97*(1/(1.12*L113))</f>
        <v>9.6728153452565341E-6</v>
      </c>
      <c r="X68">
        <f>Z97*(1/(1.12*L113))</f>
        <v>1.0981619741492185E-5</v>
      </c>
      <c r="Y68" s="13">
        <f>AVERAGE(V68:X68)</f>
        <v>1.0117970164390086E-5</v>
      </c>
      <c r="Z68">
        <f>STDEV(V68:X68)</f>
        <v>7.4806124999013707E-7</v>
      </c>
    </row>
    <row r="69" spans="2:26" x14ac:dyDescent="0.3">
      <c r="C69">
        <v>90</v>
      </c>
      <c r="E69">
        <f t="shared" ref="E69:G69" si="46">(E63+1.6545)/36.957</f>
        <v>1.0184912195253943</v>
      </c>
      <c r="F69">
        <f t="shared" si="46"/>
        <v>0.87080661309088947</v>
      </c>
      <c r="G69">
        <f t="shared" si="46"/>
        <v>0.9794547717617772</v>
      </c>
      <c r="H69">
        <f t="shared" si="40"/>
        <v>0.95625086812602034</v>
      </c>
      <c r="I69">
        <f t="shared" si="41"/>
        <v>7.6527783205720568E-2</v>
      </c>
      <c r="J69">
        <f t="shared" si="42"/>
        <v>8.0028981678932493E-2</v>
      </c>
      <c r="K69">
        <f t="shared" si="43"/>
        <v>8.0028981678932496</v>
      </c>
      <c r="U69" s="1"/>
      <c r="V69" s="1"/>
      <c r="W69" s="1"/>
      <c r="X69" s="1"/>
      <c r="Y69" s="1"/>
      <c r="Z69" s="1"/>
    </row>
    <row r="70" spans="2:26" x14ac:dyDescent="0.3">
      <c r="C70">
        <v>120</v>
      </c>
      <c r="E70">
        <f t="shared" ref="E70:G70" si="47">(E64+1.6545)/36.957</f>
        <v>1.1199734826961061</v>
      </c>
      <c r="F70">
        <f t="shared" si="47"/>
        <v>1.2157309846578455</v>
      </c>
      <c r="G70">
        <f t="shared" si="47"/>
        <v>1.361130232432286</v>
      </c>
      <c r="H70">
        <f t="shared" si="40"/>
        <v>1.2322782332620792</v>
      </c>
      <c r="I70">
        <f>STDEV(E70:G70)</f>
        <v>0.12142694537501703</v>
      </c>
      <c r="J70">
        <f>I70/H70</f>
        <v>9.8538578461762144E-2</v>
      </c>
      <c r="K70">
        <f>J70*100</f>
        <v>9.853857846176215</v>
      </c>
      <c r="U70" s="4"/>
      <c r="V70" s="23"/>
      <c r="W70" s="23"/>
      <c r="X70" s="23"/>
      <c r="Y70" s="24"/>
      <c r="Z70" s="23"/>
    </row>
    <row r="71" spans="2:26" x14ac:dyDescent="0.3">
      <c r="H71" t="e">
        <f t="shared" si="40"/>
        <v>#DIV/0!</v>
      </c>
      <c r="I71" t="e">
        <f t="shared" ref="I71" si="48">STDEV(E71:G71)</f>
        <v>#DIV/0!</v>
      </c>
      <c r="J71" t="e">
        <f t="shared" ref="J71" si="49">I71/H71</f>
        <v>#DIV/0!</v>
      </c>
      <c r="K71" t="e">
        <f t="shared" ref="K71" si="50">J71*100</f>
        <v>#DIV/0!</v>
      </c>
    </row>
    <row r="75" spans="2:26" x14ac:dyDescent="0.3">
      <c r="J75" s="26"/>
      <c r="K75" s="26"/>
    </row>
    <row r="76" spans="2:26" x14ac:dyDescent="0.3">
      <c r="B76" t="s">
        <v>43</v>
      </c>
      <c r="E76">
        <v>1</v>
      </c>
      <c r="F76">
        <v>2</v>
      </c>
      <c r="G76">
        <v>3</v>
      </c>
      <c r="H76" t="s">
        <v>2</v>
      </c>
      <c r="I76" t="s">
        <v>3</v>
      </c>
      <c r="V76" s="26" t="s">
        <v>29</v>
      </c>
      <c r="W76" s="26"/>
    </row>
    <row r="77" spans="2:26" x14ac:dyDescent="0.3">
      <c r="C77">
        <f t="shared" ref="C77:C82" si="51">C59</f>
        <v>0</v>
      </c>
      <c r="E77">
        <v>0</v>
      </c>
      <c r="F77">
        <v>0</v>
      </c>
      <c r="G77">
        <v>0</v>
      </c>
      <c r="H77">
        <v>0</v>
      </c>
      <c r="I77">
        <v>0</v>
      </c>
      <c r="U77" s="4" t="s">
        <v>24</v>
      </c>
      <c r="V77" t="s">
        <v>45</v>
      </c>
      <c r="W77" t="s">
        <v>3</v>
      </c>
    </row>
    <row r="78" spans="2:26" x14ac:dyDescent="0.3">
      <c r="C78">
        <f t="shared" si="51"/>
        <v>15</v>
      </c>
      <c r="E78">
        <f>E66*4</f>
        <v>0.73594177016532725</v>
      </c>
      <c r="F78">
        <f t="shared" ref="F78:G78" si="52">F66*4</f>
        <v>0.83654517412127616</v>
      </c>
      <c r="G78">
        <f t="shared" si="52"/>
        <v>0.6345038828909273</v>
      </c>
      <c r="H78">
        <f>AVERAGE(E78:G78)</f>
        <v>0.73566360905917694</v>
      </c>
      <c r="I78">
        <f>STDEV(E78:G78)</f>
        <v>0.1010209328342765</v>
      </c>
      <c r="U78">
        <v>0</v>
      </c>
      <c r="V78" s="21">
        <f>AVERAGE(I91,R91,AA91)</f>
        <v>0</v>
      </c>
      <c r="W78" s="21">
        <f>STDEV(I91,R91,AA91)</f>
        <v>0</v>
      </c>
    </row>
    <row r="79" spans="2:26" x14ac:dyDescent="0.3">
      <c r="C79">
        <f t="shared" si="51"/>
        <v>30</v>
      </c>
      <c r="E79">
        <f t="shared" ref="E79:G82" si="53">E67*4</f>
        <v>1.5937635630597722</v>
      </c>
      <c r="F79">
        <f t="shared" si="53"/>
        <v>1.4400779284032796</v>
      </c>
      <c r="G79">
        <f t="shared" si="53"/>
        <v>1.6872700706226154</v>
      </c>
      <c r="H79">
        <f t="shared" ref="H79:H82" si="54">AVERAGE(E79:G79)</f>
        <v>1.5737038540285557</v>
      </c>
      <c r="I79">
        <f t="shared" ref="I79:I82" si="55">STDEV(E79:G79)</f>
        <v>0.12481098805216979</v>
      </c>
      <c r="U79">
        <v>15</v>
      </c>
      <c r="V79" s="21">
        <f t="shared" ref="V79:V83" si="56">AVERAGE(I92,R92,AA92)</f>
        <v>0.36783180452958847</v>
      </c>
      <c r="W79" s="21">
        <f t="shared" ref="W79:W83" si="57">STDEV(I92,R92,AA92)</f>
        <v>5.0510466417138251E-2</v>
      </c>
    </row>
    <row r="80" spans="2:26" x14ac:dyDescent="0.3">
      <c r="C80">
        <f t="shared" si="51"/>
        <v>60</v>
      </c>
      <c r="E80">
        <f t="shared" si="53"/>
        <v>2.4796904510647511</v>
      </c>
      <c r="F80">
        <f t="shared" si="53"/>
        <v>2.5563752469085692</v>
      </c>
      <c r="G80">
        <f t="shared" si="53"/>
        <v>2.5065183862326488</v>
      </c>
      <c r="H80">
        <f t="shared" si="54"/>
        <v>2.5141946947353233</v>
      </c>
      <c r="I80">
        <f t="shared" si="55"/>
        <v>3.8914441568307118E-2</v>
      </c>
      <c r="U80">
        <v>30</v>
      </c>
      <c r="V80" s="21">
        <f t="shared" si="56"/>
        <v>0.86041828792019548</v>
      </c>
      <c r="W80" s="21">
        <f t="shared" si="57"/>
        <v>5.2424621798931641E-2</v>
      </c>
    </row>
    <row r="81" spans="3:28" x14ac:dyDescent="0.3">
      <c r="C81">
        <f t="shared" si="51"/>
        <v>90</v>
      </c>
      <c r="E81">
        <f t="shared" si="53"/>
        <v>4.0739648781015774</v>
      </c>
      <c r="F81">
        <f t="shared" si="53"/>
        <v>3.4832264523635579</v>
      </c>
      <c r="G81">
        <f t="shared" si="53"/>
        <v>3.9178190870471088</v>
      </c>
      <c r="H81">
        <f t="shared" si="54"/>
        <v>3.8250034725040813</v>
      </c>
      <c r="I81">
        <f t="shared" si="55"/>
        <v>0.30611113282288227</v>
      </c>
      <c r="U81">
        <v>60</v>
      </c>
      <c r="V81" s="21">
        <f t="shared" si="56"/>
        <v>1.4880340936764347</v>
      </c>
      <c r="W81" s="21">
        <f t="shared" si="57"/>
        <v>1.6669566641573551E-2</v>
      </c>
    </row>
    <row r="82" spans="3:28" x14ac:dyDescent="0.3">
      <c r="C82">
        <f t="shared" si="51"/>
        <v>120</v>
      </c>
      <c r="E82">
        <f t="shared" si="53"/>
        <v>4.4798939307844243</v>
      </c>
      <c r="F82">
        <f t="shared" si="53"/>
        <v>4.8629239386313818</v>
      </c>
      <c r="G82">
        <f t="shared" si="53"/>
        <v>5.4445209297291441</v>
      </c>
      <c r="H82">
        <f t="shared" si="54"/>
        <v>4.9291129330483168</v>
      </c>
      <c r="I82">
        <f t="shared" si="55"/>
        <v>0.4857077815000681</v>
      </c>
      <c r="U82">
        <v>90</v>
      </c>
      <c r="V82" s="21">
        <f t="shared" si="56"/>
        <v>2.394857952034346</v>
      </c>
      <c r="W82" s="21">
        <f t="shared" si="57"/>
        <v>0.15202605359984309</v>
      </c>
    </row>
    <row r="83" spans="3:28" x14ac:dyDescent="0.3">
      <c r="U83">
        <v>120</v>
      </c>
      <c r="V83" s="21">
        <f t="shared" si="56"/>
        <v>3.3294130295568718</v>
      </c>
      <c r="W83" s="21">
        <f t="shared" si="57"/>
        <v>0.24123313157331766</v>
      </c>
    </row>
    <row r="84" spans="3:28" x14ac:dyDescent="0.3">
      <c r="V84" t="s">
        <v>46</v>
      </c>
      <c r="W84" s="21">
        <f>AVERAGE(H97,Q97,Z97)</f>
        <v>4.6053268967898166E-4</v>
      </c>
    </row>
    <row r="86" spans="3:28" ht="16.2" x14ac:dyDescent="0.35">
      <c r="D86" s="4"/>
      <c r="E86" s="4" t="s">
        <v>18</v>
      </c>
      <c r="F86" s="4" t="s">
        <v>19</v>
      </c>
      <c r="M86" s="4"/>
      <c r="N86" s="4" t="s">
        <v>18</v>
      </c>
      <c r="O86" s="4" t="s">
        <v>19</v>
      </c>
      <c r="V86" s="4"/>
      <c r="W86" s="4" t="s">
        <v>18</v>
      </c>
      <c r="X86" s="4" t="s">
        <v>19</v>
      </c>
    </row>
    <row r="87" spans="3:28" x14ac:dyDescent="0.3">
      <c r="D87" s="5"/>
      <c r="E87" s="5">
        <v>0.5</v>
      </c>
      <c r="F87" s="5">
        <v>0.1</v>
      </c>
      <c r="G87" s="3"/>
      <c r="H87" s="3"/>
      <c r="I87" s="3"/>
      <c r="J87" s="3"/>
      <c r="M87" s="5"/>
      <c r="N87" s="5">
        <v>0.5</v>
      </c>
      <c r="O87" s="5">
        <v>0.1</v>
      </c>
      <c r="P87" s="20"/>
      <c r="Q87" s="20"/>
      <c r="R87" s="20"/>
      <c r="S87" s="20"/>
      <c r="V87" s="5"/>
      <c r="W87" s="5">
        <v>0.5</v>
      </c>
      <c r="X87" s="5">
        <v>0.1</v>
      </c>
      <c r="Y87" s="20"/>
      <c r="Z87" s="20"/>
      <c r="AA87" s="20"/>
      <c r="AB87" s="20"/>
    </row>
    <row r="88" spans="3:28" x14ac:dyDescent="0.3">
      <c r="D88" s="4"/>
      <c r="E88" s="6" t="s">
        <v>21</v>
      </c>
      <c r="F88" s="6" t="s">
        <v>21</v>
      </c>
      <c r="G88" s="3"/>
      <c r="H88" s="7"/>
      <c r="I88" s="3"/>
      <c r="J88" s="3"/>
      <c r="M88" s="4"/>
      <c r="N88" s="6" t="s">
        <v>21</v>
      </c>
      <c r="O88" s="6" t="s">
        <v>21</v>
      </c>
      <c r="P88" s="20"/>
      <c r="Q88" s="7"/>
      <c r="R88" s="20"/>
      <c r="S88" s="20"/>
      <c r="V88" s="4"/>
      <c r="W88" s="6" t="s">
        <v>21</v>
      </c>
      <c r="X88" s="6" t="s">
        <v>21</v>
      </c>
      <c r="Y88" s="20"/>
      <c r="Z88" s="7"/>
      <c r="AA88" s="20"/>
      <c r="AB88" s="20"/>
    </row>
    <row r="89" spans="3:28" x14ac:dyDescent="0.3">
      <c r="D89" s="3"/>
      <c r="E89" s="3"/>
      <c r="F89" s="4" t="s">
        <v>23</v>
      </c>
      <c r="G89" s="3"/>
      <c r="H89" s="3"/>
      <c r="I89" s="3"/>
      <c r="J89" s="3"/>
      <c r="M89" s="20"/>
      <c r="N89" s="20"/>
      <c r="O89" s="4" t="s">
        <v>23</v>
      </c>
      <c r="P89" s="20"/>
      <c r="Q89" s="20"/>
      <c r="R89" s="20"/>
      <c r="S89" s="20"/>
      <c r="V89" s="20"/>
      <c r="W89" s="20"/>
      <c r="X89" s="4" t="s">
        <v>23</v>
      </c>
      <c r="Y89" s="20"/>
      <c r="Z89" s="20"/>
      <c r="AA89" s="20"/>
      <c r="AB89" s="20"/>
    </row>
    <row r="90" spans="3:28" x14ac:dyDescent="0.3">
      <c r="D90" s="4" t="s">
        <v>24</v>
      </c>
      <c r="E90" s="4" t="s">
        <v>25</v>
      </c>
      <c r="F90" t="s">
        <v>26</v>
      </c>
      <c r="G90" s="4" t="s">
        <v>27</v>
      </c>
      <c r="H90" s="4" t="s">
        <v>28</v>
      </c>
      <c r="I90" s="4" t="s">
        <v>29</v>
      </c>
      <c r="J90" s="4" t="s">
        <v>30</v>
      </c>
      <c r="M90" s="4" t="s">
        <v>24</v>
      </c>
      <c r="N90" s="4" t="s">
        <v>25</v>
      </c>
      <c r="O90" t="s">
        <v>26</v>
      </c>
      <c r="P90" s="4" t="s">
        <v>27</v>
      </c>
      <c r="Q90" s="4" t="s">
        <v>28</v>
      </c>
      <c r="R90" s="4" t="s">
        <v>29</v>
      </c>
      <c r="S90" s="4" t="s">
        <v>30</v>
      </c>
      <c r="V90" s="4" t="s">
        <v>24</v>
      </c>
      <c r="W90" s="4" t="s">
        <v>25</v>
      </c>
      <c r="X90" t="s">
        <v>26</v>
      </c>
      <c r="Y90" s="4" t="s">
        <v>27</v>
      </c>
      <c r="Z90" s="4" t="s">
        <v>28</v>
      </c>
      <c r="AA90" s="4" t="s">
        <v>29</v>
      </c>
      <c r="AB90" s="4" t="s">
        <v>30</v>
      </c>
    </row>
    <row r="91" spans="3:28" x14ac:dyDescent="0.3">
      <c r="D91">
        <v>0</v>
      </c>
      <c r="E91" s="5">
        <v>0</v>
      </c>
      <c r="F91" s="8">
        <v>0</v>
      </c>
      <c r="G91" s="9">
        <v>0</v>
      </c>
      <c r="H91" s="10">
        <f>((0.5*F91)+(1.3*G91))/0.5</f>
        <v>0</v>
      </c>
      <c r="I91" s="10">
        <f>H91*0.5</f>
        <v>0</v>
      </c>
      <c r="J91" s="10">
        <f>(I91/40.63956454)*100</f>
        <v>0</v>
      </c>
      <c r="M91">
        <v>0</v>
      </c>
      <c r="N91" s="5">
        <v>0</v>
      </c>
      <c r="O91" s="8">
        <v>0</v>
      </c>
      <c r="P91" s="9">
        <v>0</v>
      </c>
      <c r="Q91" s="10">
        <f>((0.5*O91)+(1.3*P91))/0.5</f>
        <v>0</v>
      </c>
      <c r="R91" s="10">
        <f>Q91*0.5</f>
        <v>0</v>
      </c>
      <c r="S91" s="10">
        <f>(R91/40.63956454)*100</f>
        <v>0</v>
      </c>
      <c r="V91">
        <v>0</v>
      </c>
      <c r="W91" s="5">
        <v>0</v>
      </c>
      <c r="X91" s="8">
        <v>0</v>
      </c>
      <c r="Y91" s="9">
        <v>0</v>
      </c>
      <c r="Z91" s="10">
        <f>((0.5*X91)+(1.3*Y91))/0.5</f>
        <v>0</v>
      </c>
      <c r="AA91" s="10">
        <f>Z91*0.5</f>
        <v>0</v>
      </c>
      <c r="AB91" s="10">
        <f>(AA91/40.63956454)*100</f>
        <v>0</v>
      </c>
    </row>
    <row r="92" spans="3:28" x14ac:dyDescent="0.3">
      <c r="D92">
        <f>E92*60</f>
        <v>900</v>
      </c>
      <c r="E92" s="5">
        <v>15</v>
      </c>
      <c r="F92" s="8">
        <f>E78</f>
        <v>0.73594177016532725</v>
      </c>
      <c r="G92" s="9">
        <f>$F91+$G91</f>
        <v>0</v>
      </c>
      <c r="H92" s="10">
        <f>((0.5*F92)+(0.1*G92))/0.5</f>
        <v>0.73594177016532725</v>
      </c>
      <c r="I92" s="10">
        <f t="shared" ref="I92:I96" si="58">H92*0.5</f>
        <v>0.36797088508266362</v>
      </c>
      <c r="J92" s="10">
        <f t="shared" ref="J92:J96" si="59">(I92/40.63956454)*100</f>
        <v>0.90544987193571846</v>
      </c>
      <c r="M92">
        <f>N92*60</f>
        <v>900</v>
      </c>
      <c r="N92" s="5">
        <v>15</v>
      </c>
      <c r="O92" s="8">
        <f>F78</f>
        <v>0.83654517412127616</v>
      </c>
      <c r="P92" s="9">
        <f>$O91+$P91</f>
        <v>0</v>
      </c>
      <c r="Q92" s="10">
        <f>((0.5*O92)+(0.1*P92))/0.5</f>
        <v>0.83654517412127616</v>
      </c>
      <c r="R92" s="10">
        <f t="shared" ref="R92:R96" si="60">Q92*0.5</f>
        <v>0.41827258706063808</v>
      </c>
      <c r="S92" s="10">
        <f t="shared" ref="S92:S96" si="61">(R92/40.63956454)*100</f>
        <v>1.0292250711715871</v>
      </c>
      <c r="V92">
        <f>W92*60</f>
        <v>900</v>
      </c>
      <c r="W92" s="5">
        <v>15</v>
      </c>
      <c r="X92" s="8">
        <f>G78</f>
        <v>0.6345038828909273</v>
      </c>
      <c r="Y92" s="9">
        <f>$X91+$Y91</f>
        <v>0</v>
      </c>
      <c r="Z92" s="10">
        <f>((0.5*X92)+(0.1*Y92))/0.5</f>
        <v>0.6345038828909273</v>
      </c>
      <c r="AA92" s="10">
        <f t="shared" ref="AA92:AA96" si="62">Z92*0.5</f>
        <v>0.31725194144546365</v>
      </c>
      <c r="AB92" s="10">
        <f t="shared" ref="AB92:AB96" si="63">(AA92/40.63956454)*100</f>
        <v>0.7806479843877373</v>
      </c>
    </row>
    <row r="93" spans="3:28" x14ac:dyDescent="0.3">
      <c r="D93">
        <f t="shared" ref="D93:D96" si="64">E93*60</f>
        <v>1800</v>
      </c>
      <c r="E93" s="5">
        <v>30</v>
      </c>
      <c r="F93" s="8">
        <f t="shared" ref="F93:F96" si="65">E79</f>
        <v>1.5937635630597722</v>
      </c>
      <c r="G93" s="9">
        <f t="shared" ref="G93:G96" si="66">$F92+$G92</f>
        <v>0.73594177016532725</v>
      </c>
      <c r="H93" s="10">
        <f t="shared" ref="H93:H96" si="67">((0.5*F93)+(0.1*G93))/0.5</f>
        <v>1.7409519170928376</v>
      </c>
      <c r="I93" s="10">
        <f t="shared" si="58"/>
        <v>0.87047595854641879</v>
      </c>
      <c r="J93" s="10">
        <f t="shared" si="59"/>
        <v>2.1419421403731871</v>
      </c>
      <c r="M93">
        <f t="shared" ref="M93:M96" si="68">N93*60</f>
        <v>1800</v>
      </c>
      <c r="N93" s="5">
        <v>30</v>
      </c>
      <c r="O93" s="8">
        <f t="shared" ref="O93:O96" si="69">F79</f>
        <v>1.4400779284032796</v>
      </c>
      <c r="P93" s="9">
        <f t="shared" ref="P93:P96" si="70">$O92+$P92</f>
        <v>0.83654517412127616</v>
      </c>
      <c r="Q93" s="10">
        <f t="shared" ref="Q93:Q96" si="71">((0.5*O93)+(0.1*P93))/0.5</f>
        <v>1.6073869632275348</v>
      </c>
      <c r="R93" s="10">
        <f t="shared" si="60"/>
        <v>0.80369348161376741</v>
      </c>
      <c r="S93" s="10">
        <f t="shared" si="61"/>
        <v>1.9776134186249017</v>
      </c>
      <c r="V93">
        <f t="shared" ref="V93:V96" si="72">W93*60</f>
        <v>1800</v>
      </c>
      <c r="W93" s="5">
        <v>30</v>
      </c>
      <c r="X93" s="8">
        <f t="shared" ref="X93:X96" si="73">G79</f>
        <v>1.6872700706226154</v>
      </c>
      <c r="Y93" s="9">
        <f t="shared" ref="Y93:Y96" si="74">$X92+$Y92</f>
        <v>0.6345038828909273</v>
      </c>
      <c r="Z93" s="10">
        <f t="shared" ref="Z93:Z96" si="75">((0.5*X93)+(0.1*Y93))/0.5</f>
        <v>1.8141708472008009</v>
      </c>
      <c r="AA93" s="10">
        <f t="shared" si="62"/>
        <v>0.90708542360040045</v>
      </c>
      <c r="AB93" s="10">
        <f t="shared" si="63"/>
        <v>2.2320254507343216</v>
      </c>
    </row>
    <row r="94" spans="3:28" x14ac:dyDescent="0.3">
      <c r="D94">
        <f t="shared" si="64"/>
        <v>3600</v>
      </c>
      <c r="E94" s="5">
        <v>60</v>
      </c>
      <c r="F94" s="8">
        <f t="shared" si="65"/>
        <v>2.4796904510647511</v>
      </c>
      <c r="G94" s="9">
        <f t="shared" si="66"/>
        <v>2.3297053332250997</v>
      </c>
      <c r="H94" s="10">
        <f t="shared" si="67"/>
        <v>2.9456315177097712</v>
      </c>
      <c r="I94" s="10">
        <f t="shared" si="58"/>
        <v>1.4728157588548856</v>
      </c>
      <c r="J94" s="10">
        <f t="shared" si="59"/>
        <v>3.624093357115695</v>
      </c>
      <c r="M94">
        <f t="shared" si="68"/>
        <v>3600</v>
      </c>
      <c r="N94" s="5">
        <v>60</v>
      </c>
      <c r="O94" s="8">
        <f t="shared" si="69"/>
        <v>2.5563752469085692</v>
      </c>
      <c r="P94" s="9">
        <f t="shared" si="70"/>
        <v>2.2766231025245558</v>
      </c>
      <c r="Q94" s="10">
        <f t="shared" si="71"/>
        <v>3.0116998674134803</v>
      </c>
      <c r="R94" s="10">
        <f t="shared" si="60"/>
        <v>1.5058499337067401</v>
      </c>
      <c r="S94" s="10">
        <f t="shared" si="61"/>
        <v>3.7053791071619093</v>
      </c>
      <c r="V94">
        <f t="shared" si="72"/>
        <v>3600</v>
      </c>
      <c r="W94" s="5">
        <v>60</v>
      </c>
      <c r="X94" s="8">
        <f t="shared" si="73"/>
        <v>2.5065183862326488</v>
      </c>
      <c r="Y94" s="9">
        <f t="shared" si="74"/>
        <v>2.3217739535135427</v>
      </c>
      <c r="Z94" s="10">
        <f t="shared" si="75"/>
        <v>2.9708731769353571</v>
      </c>
      <c r="AA94" s="10">
        <f t="shared" si="62"/>
        <v>1.4854365884676786</v>
      </c>
      <c r="AB94" s="10">
        <f t="shared" si="63"/>
        <v>3.6551488808538264</v>
      </c>
    </row>
    <row r="95" spans="3:28" x14ac:dyDescent="0.3">
      <c r="D95">
        <f t="shared" si="64"/>
        <v>5400</v>
      </c>
      <c r="E95" s="5">
        <v>90</v>
      </c>
      <c r="F95" s="8">
        <f t="shared" si="65"/>
        <v>4.0739648781015774</v>
      </c>
      <c r="G95" s="9">
        <f t="shared" si="66"/>
        <v>4.8093957842898512</v>
      </c>
      <c r="H95" s="10">
        <f t="shared" si="67"/>
        <v>5.0358440349595472</v>
      </c>
      <c r="I95" s="10">
        <f t="shared" si="58"/>
        <v>2.5179220174797736</v>
      </c>
      <c r="J95" s="10">
        <f t="shared" si="59"/>
        <v>6.1957406433365625</v>
      </c>
      <c r="M95">
        <f t="shared" si="68"/>
        <v>5400</v>
      </c>
      <c r="N95" s="5">
        <v>90</v>
      </c>
      <c r="O95" s="8">
        <f t="shared" si="69"/>
        <v>3.4832264523635579</v>
      </c>
      <c r="P95" s="9">
        <f t="shared" si="70"/>
        <v>4.832998349433125</v>
      </c>
      <c r="Q95" s="10">
        <f t="shared" si="71"/>
        <v>4.4498261222501831</v>
      </c>
      <c r="R95" s="10">
        <f t="shared" si="60"/>
        <v>2.2249130611250916</v>
      </c>
      <c r="S95" s="10">
        <f t="shared" si="61"/>
        <v>5.474746312636281</v>
      </c>
      <c r="V95">
        <f t="shared" si="72"/>
        <v>5400</v>
      </c>
      <c r="W95" s="5">
        <v>90</v>
      </c>
      <c r="X95" s="8">
        <f t="shared" si="73"/>
        <v>3.9178190870471088</v>
      </c>
      <c r="Y95" s="9">
        <f t="shared" si="74"/>
        <v>4.8282923397461914</v>
      </c>
      <c r="Z95" s="10">
        <f t="shared" si="75"/>
        <v>4.8834775549963467</v>
      </c>
      <c r="AA95" s="10">
        <f t="shared" si="62"/>
        <v>2.4417387774981734</v>
      </c>
      <c r="AB95" s="10">
        <f t="shared" si="63"/>
        <v>6.0082798748861137</v>
      </c>
    </row>
    <row r="96" spans="3:28" x14ac:dyDescent="0.3">
      <c r="D96">
        <f t="shared" si="64"/>
        <v>7200</v>
      </c>
      <c r="E96" s="5">
        <v>120</v>
      </c>
      <c r="F96" s="8">
        <f t="shared" si="65"/>
        <v>4.4798939307844243</v>
      </c>
      <c r="G96" s="9">
        <f t="shared" si="66"/>
        <v>8.8833606623914285</v>
      </c>
      <c r="H96" s="10">
        <f t="shared" si="67"/>
        <v>6.25656606326271</v>
      </c>
      <c r="I96" s="10">
        <f t="shared" si="58"/>
        <v>3.128283031631355</v>
      </c>
      <c r="J96" s="10">
        <f t="shared" si="59"/>
        <v>7.6976293103542064</v>
      </c>
      <c r="M96">
        <f t="shared" si="68"/>
        <v>7200</v>
      </c>
      <c r="N96" s="5">
        <v>120</v>
      </c>
      <c r="O96" s="8">
        <f t="shared" si="69"/>
        <v>4.8629239386313818</v>
      </c>
      <c r="P96" s="9">
        <f t="shared" si="70"/>
        <v>8.3162248017966824</v>
      </c>
      <c r="Q96" s="10">
        <f t="shared" si="71"/>
        <v>6.5261688989907185</v>
      </c>
      <c r="R96" s="10">
        <f t="shared" si="60"/>
        <v>3.2630844494953593</v>
      </c>
      <c r="S96" s="10">
        <f t="shared" si="61"/>
        <v>8.0293292667632485</v>
      </c>
      <c r="V96">
        <f t="shared" si="72"/>
        <v>7200</v>
      </c>
      <c r="W96" s="5">
        <v>120</v>
      </c>
      <c r="X96" s="8">
        <f t="shared" si="73"/>
        <v>5.4445209297291441</v>
      </c>
      <c r="Y96" s="9">
        <f t="shared" si="74"/>
        <v>8.7461114267933002</v>
      </c>
      <c r="Z96" s="10">
        <f t="shared" si="75"/>
        <v>7.193743215087804</v>
      </c>
      <c r="AA96" s="10">
        <f t="shared" si="62"/>
        <v>3.596871607543902</v>
      </c>
      <c r="AB96" s="10">
        <f t="shared" si="63"/>
        <v>8.8506647358478361</v>
      </c>
    </row>
    <row r="97" spans="3:26" x14ac:dyDescent="0.3">
      <c r="G97" s="11" t="s">
        <v>31</v>
      </c>
      <c r="H97">
        <f>SLOPE(I92:I96,D92:D96)</f>
        <v>4.4148435158621686E-4</v>
      </c>
      <c r="P97" s="11" t="s">
        <v>31</v>
      </c>
      <c r="Q97">
        <f>SLOPE(R92:R96,M92:M96)</f>
        <v>4.402708839167294E-4</v>
      </c>
      <c r="Y97" s="11" t="s">
        <v>31</v>
      </c>
      <c r="Z97">
        <f>SLOPE(AA92:AA96,V92:V96)</f>
        <v>4.9984283353399868E-4</v>
      </c>
    </row>
    <row r="98" spans="3:26" ht="16.2" x14ac:dyDescent="0.35">
      <c r="D98" t="s">
        <v>32</v>
      </c>
    </row>
    <row r="99" spans="3:26" ht="16.2" x14ac:dyDescent="0.35">
      <c r="D99" t="s">
        <v>33</v>
      </c>
    </row>
    <row r="100" spans="3:26" ht="16.2" x14ac:dyDescent="0.35">
      <c r="D100" t="s">
        <v>34</v>
      </c>
    </row>
    <row r="101" spans="3:26" x14ac:dyDescent="0.3">
      <c r="D101" t="s">
        <v>35</v>
      </c>
    </row>
    <row r="102" spans="3:26" ht="16.2" x14ac:dyDescent="0.35">
      <c r="D102" t="s">
        <v>36</v>
      </c>
    </row>
    <row r="104" spans="3:26" s="12" customFormat="1" x14ac:dyDescent="0.3"/>
    <row r="106" spans="3:26" x14ac:dyDescent="0.3">
      <c r="C106" t="s">
        <v>10</v>
      </c>
      <c r="H106" t="s">
        <v>2</v>
      </c>
      <c r="I106" t="s">
        <v>3</v>
      </c>
      <c r="K106" t="s">
        <v>37</v>
      </c>
      <c r="L106" t="s">
        <v>40</v>
      </c>
    </row>
    <row r="107" spans="3:26" x14ac:dyDescent="0.3">
      <c r="C107">
        <v>0</v>
      </c>
      <c r="E107">
        <v>380.09267999999997</v>
      </c>
      <c r="F107">
        <v>354.61221</v>
      </c>
      <c r="G107">
        <v>365.54174999999998</v>
      </c>
      <c r="H107">
        <f t="shared" ref="H107:H114" si="76">AVERAGE(E107:G107)</f>
        <v>366.74887999999993</v>
      </c>
      <c r="I107">
        <f t="shared" ref="I107:I114" si="77">STDEV(E107:G107)</f>
        <v>12.783053625128058</v>
      </c>
      <c r="K107">
        <f>(H107+1.6545)/36.957</f>
        <v>9.968433043807666</v>
      </c>
      <c r="L107">
        <f>K107*4</f>
        <v>39.873732175230664</v>
      </c>
    </row>
    <row r="108" spans="3:26" x14ac:dyDescent="0.3">
      <c r="C108">
        <v>120</v>
      </c>
      <c r="E108">
        <v>356.84872000000001</v>
      </c>
      <c r="F108">
        <v>384.04126000000002</v>
      </c>
      <c r="G108">
        <v>353.38180999999997</v>
      </c>
      <c r="H108">
        <f t="shared" si="76"/>
        <v>364.75726333333336</v>
      </c>
      <c r="I108">
        <f t="shared" si="77"/>
        <v>16.790153716301525</v>
      </c>
      <c r="K108">
        <f>(H108+1.6545)/36.957</f>
        <v>9.9145429372874787</v>
      </c>
      <c r="L108">
        <f>K108*4</f>
        <v>39.658171749149915</v>
      </c>
    </row>
    <row r="112" spans="3:26" x14ac:dyDescent="0.3">
      <c r="C112" t="s">
        <v>11</v>
      </c>
    </row>
    <row r="113" spans="3:12" x14ac:dyDescent="0.3">
      <c r="C113">
        <v>0</v>
      </c>
      <c r="E113">
        <v>726.57659999999998</v>
      </c>
      <c r="F113">
        <v>773.77344000000005</v>
      </c>
      <c r="G113">
        <v>747.56104000000005</v>
      </c>
      <c r="H113">
        <f t="shared" si="76"/>
        <v>749.30369333333329</v>
      </c>
      <c r="I113">
        <f t="shared" si="77"/>
        <v>23.646628871290194</v>
      </c>
      <c r="K113">
        <f t="shared" ref="K113:K114" si="78">(H113+1.6545)/36.957</f>
        <v>20.319782269484353</v>
      </c>
      <c r="L113">
        <f>K113*2</f>
        <v>40.639564538968706</v>
      </c>
    </row>
    <row r="114" spans="3:12" x14ac:dyDescent="0.3">
      <c r="C114">
        <v>120</v>
      </c>
      <c r="E114">
        <v>692.03021000000001</v>
      </c>
      <c r="F114">
        <v>749.60839999999996</v>
      </c>
      <c r="G114">
        <v>742.67052999999999</v>
      </c>
      <c r="H114">
        <f t="shared" si="76"/>
        <v>728.10304666666661</v>
      </c>
      <c r="I114">
        <f t="shared" si="77"/>
        <v>31.432000714546184</v>
      </c>
      <c r="K114">
        <f t="shared" si="78"/>
        <v>19.746125136419803</v>
      </c>
      <c r="L114">
        <f>K114*2</f>
        <v>39.492250272839605</v>
      </c>
    </row>
    <row r="116" spans="3:12" x14ac:dyDescent="0.3">
      <c r="F116" s="1"/>
    </row>
    <row r="117" spans="3:12" x14ac:dyDescent="0.3">
      <c r="H117" t="s">
        <v>2</v>
      </c>
    </row>
    <row r="118" spans="3:12" x14ac:dyDescent="0.3">
      <c r="C118" t="s">
        <v>16</v>
      </c>
      <c r="D118" t="s">
        <v>17</v>
      </c>
      <c r="E118">
        <v>1703.4025899999999</v>
      </c>
      <c r="F118">
        <v>1702.3178700000001</v>
      </c>
      <c r="G118">
        <v>1702.0646999999999</v>
      </c>
      <c r="H118">
        <f>AVERAGE(E118:G118)</f>
        <v>1702.5950533333332</v>
      </c>
    </row>
    <row r="119" spans="3:12" x14ac:dyDescent="0.3">
      <c r="D119" t="s">
        <v>38</v>
      </c>
      <c r="E119">
        <f>(E118+1.6545)/36.957</f>
        <v>46.136241848634903</v>
      </c>
      <c r="F119">
        <f t="shared" ref="F119:G119" si="79">(F118+1.6545)/36.957</f>
        <v>46.106890981410835</v>
      </c>
      <c r="G119">
        <f t="shared" si="79"/>
        <v>46.100040587710041</v>
      </c>
      <c r="H119">
        <f t="shared" ref="H119:H120" si="80">AVERAGE(E119:G119)</f>
        <v>46.114391139251929</v>
      </c>
    </row>
    <row r="120" spans="3:12" x14ac:dyDescent="0.3">
      <c r="D120" t="s">
        <v>39</v>
      </c>
      <c r="E120">
        <f>E119/4</f>
        <v>11.534060462158726</v>
      </c>
      <c r="F120">
        <f t="shared" ref="F120:G120" si="81">F119/4</f>
        <v>11.526722745352709</v>
      </c>
      <c r="G120">
        <f t="shared" si="81"/>
        <v>11.52501014692751</v>
      </c>
      <c r="H120">
        <f t="shared" si="80"/>
        <v>11.528597784812982</v>
      </c>
    </row>
  </sheetData>
  <mergeCells count="6">
    <mergeCell ref="J17:K17"/>
    <mergeCell ref="J75:K75"/>
    <mergeCell ref="V21:W21"/>
    <mergeCell ref="V14:Z14"/>
    <mergeCell ref="V76:W76"/>
    <mergeCell ref="V66:Z6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6"/>
  <sheetViews>
    <sheetView topLeftCell="A40" zoomScale="65" zoomScaleNormal="65" zoomScalePageLayoutView="65" workbookViewId="0">
      <selection activeCell="S35" sqref="S35"/>
    </sheetView>
  </sheetViews>
  <sheetFormatPr defaultColWidth="11" defaultRowHeight="15.6" x14ac:dyDescent="0.3"/>
  <cols>
    <col min="6" max="6" width="14.19921875" bestFit="1" customWidth="1"/>
    <col min="11" max="13" width="14.19921875" bestFit="1" customWidth="1"/>
  </cols>
  <sheetData>
    <row r="3" spans="3:11" x14ac:dyDescent="0.3">
      <c r="C3" t="s">
        <v>6</v>
      </c>
      <c r="D3" t="s">
        <v>13</v>
      </c>
    </row>
    <row r="5" spans="3:11" x14ac:dyDescent="0.3">
      <c r="C5" t="s">
        <v>7</v>
      </c>
      <c r="D5" t="s">
        <v>1</v>
      </c>
      <c r="E5" t="s">
        <v>0</v>
      </c>
    </row>
    <row r="6" spans="3:11" x14ac:dyDescent="0.3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</row>
    <row r="7" spans="3:11" x14ac:dyDescent="0.3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3:11" x14ac:dyDescent="0.3">
      <c r="C8">
        <v>15</v>
      </c>
      <c r="E8">
        <v>2.0646300000000002</v>
      </c>
      <c r="F8">
        <v>1.40933</v>
      </c>
      <c r="G8">
        <v>0.998753</v>
      </c>
      <c r="H8">
        <f>AVERAGE(E8:G8)</f>
        <v>1.4909043333333332</v>
      </c>
      <c r="I8">
        <f>STDEV(E8:G8)</f>
        <v>0.53760043124641721</v>
      </c>
      <c r="J8">
        <f>I8/H8</f>
        <v>0.36058680575732266</v>
      </c>
      <c r="K8">
        <f>J8*100</f>
        <v>36.058680575732268</v>
      </c>
    </row>
    <row r="9" spans="3:11" x14ac:dyDescent="0.3">
      <c r="C9">
        <v>30</v>
      </c>
      <c r="E9">
        <v>4.4980599999999997</v>
      </c>
      <c r="F9">
        <v>4.3845499999999999</v>
      </c>
      <c r="G9">
        <v>9.0165799999999994</v>
      </c>
      <c r="H9">
        <f t="shared" ref="H9:H11" si="0">AVERAGE(E9:G9)</f>
        <v>5.9663966666666655</v>
      </c>
      <c r="I9">
        <f t="shared" ref="I9:I11" si="1">STDEV(E9:G9)</f>
        <v>2.6421458902250912</v>
      </c>
      <c r="J9">
        <f t="shared" ref="J9:J11" si="2">I9/H9</f>
        <v>0.4428377859934039</v>
      </c>
      <c r="K9">
        <f t="shared" ref="K9:K11" si="3">J9*100</f>
        <v>44.283778599340387</v>
      </c>
    </row>
    <row r="10" spans="3:11" x14ac:dyDescent="0.3">
      <c r="C10">
        <v>60</v>
      </c>
      <c r="E10">
        <v>7.2715199999999998</v>
      </c>
      <c r="F10">
        <v>7.9926000000000004</v>
      </c>
      <c r="G10">
        <v>11.693569999999999</v>
      </c>
      <c r="H10">
        <f t="shared" si="0"/>
        <v>8.9858966666666671</v>
      </c>
      <c r="I10">
        <f t="shared" si="1"/>
        <v>2.3724692309139326</v>
      </c>
      <c r="J10">
        <f t="shared" si="2"/>
        <v>0.2640214236732375</v>
      </c>
      <c r="K10">
        <f t="shared" si="3"/>
        <v>26.402142367323751</v>
      </c>
    </row>
    <row r="11" spans="3:11" x14ac:dyDescent="0.3">
      <c r="C11">
        <v>120</v>
      </c>
      <c r="E11">
        <v>7.9531299999999998</v>
      </c>
      <c r="F11">
        <v>8.3459299999999992</v>
      </c>
      <c r="G11">
        <v>10.848330000000001</v>
      </c>
      <c r="H11">
        <f t="shared" si="0"/>
        <v>9.0491299999999999</v>
      </c>
      <c r="I11">
        <f t="shared" si="1"/>
        <v>1.5704819132992347</v>
      </c>
      <c r="J11">
        <f t="shared" si="2"/>
        <v>0.17355059694127886</v>
      </c>
      <c r="K11">
        <f t="shared" si="3"/>
        <v>17.355059694127885</v>
      </c>
    </row>
    <row r="16" spans="3:11" x14ac:dyDescent="0.3">
      <c r="J16" s="26"/>
      <c r="K16" s="26"/>
    </row>
    <row r="17" spans="1:9" x14ac:dyDescent="0.3">
      <c r="C17" t="s">
        <v>7</v>
      </c>
      <c r="E17">
        <v>1</v>
      </c>
      <c r="F17">
        <v>2</v>
      </c>
      <c r="G17">
        <v>3</v>
      </c>
      <c r="H17" t="s">
        <v>2</v>
      </c>
      <c r="I17" t="s">
        <v>3</v>
      </c>
    </row>
    <row r="18" spans="1:9" x14ac:dyDescent="0.3">
      <c r="C18">
        <f>C7</f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x14ac:dyDescent="0.3">
      <c r="C19">
        <f>C8</f>
        <v>15</v>
      </c>
      <c r="E19">
        <f>(E8+1.8971)/26.07</f>
        <v>0.15196509397775221</v>
      </c>
      <c r="F19">
        <f t="shared" ref="F19:G19" si="4">(F8+1.8971)/26.07</f>
        <v>0.1268289221327196</v>
      </c>
      <c r="G19">
        <f t="shared" si="4"/>
        <v>0.11107990026850785</v>
      </c>
      <c r="H19">
        <f>AVERAGE(E19:G19)</f>
        <v>0.12995797212632657</v>
      </c>
      <c r="I19">
        <f>STDEV(E19:G19)</f>
        <v>2.0621420454407922E-2</v>
      </c>
    </row>
    <row r="20" spans="1:9" x14ac:dyDescent="0.3">
      <c r="C20">
        <f>C9</f>
        <v>30</v>
      </c>
      <c r="E20">
        <f t="shared" ref="E20:G22" si="5">(E9+1.8971)/26.07</f>
        <v>0.24530724971231299</v>
      </c>
      <c r="F20">
        <f t="shared" si="5"/>
        <v>0.24095320291522823</v>
      </c>
      <c r="G20">
        <f t="shared" si="5"/>
        <v>0.41862984273110854</v>
      </c>
      <c r="H20">
        <f t="shared" ref="H20:H28" si="6">AVERAGE(E20:G20)</f>
        <v>0.30163009845288324</v>
      </c>
      <c r="I20">
        <f t="shared" ref="I20:I28" si="7">STDEV(E20:G20)</f>
        <v>0.10134813541331375</v>
      </c>
    </row>
    <row r="21" spans="1:9" x14ac:dyDescent="0.3">
      <c r="C21">
        <f>C10</f>
        <v>60</v>
      </c>
      <c r="E21">
        <f t="shared" si="5"/>
        <v>0.35169236670502496</v>
      </c>
      <c r="F21">
        <f t="shared" si="5"/>
        <v>0.37935174530111243</v>
      </c>
      <c r="G21">
        <f t="shared" si="5"/>
        <v>0.52131453778289216</v>
      </c>
      <c r="H21">
        <f t="shared" si="6"/>
        <v>0.41745288326300983</v>
      </c>
      <c r="I21">
        <f t="shared" si="7"/>
        <v>9.1003806325812231E-2</v>
      </c>
    </row>
    <row r="22" spans="1:9" x14ac:dyDescent="0.3">
      <c r="C22">
        <f>C11</f>
        <v>120</v>
      </c>
      <c r="E22">
        <f t="shared" si="5"/>
        <v>0.37783774453394703</v>
      </c>
      <c r="F22">
        <f t="shared" si="5"/>
        <v>0.39290487149980818</v>
      </c>
      <c r="G22">
        <f t="shared" si="5"/>
        <v>0.48889259685462222</v>
      </c>
      <c r="H22">
        <f t="shared" si="6"/>
        <v>0.41987840429612583</v>
      </c>
      <c r="I22">
        <f t="shared" si="7"/>
        <v>6.0240963302617238E-2</v>
      </c>
    </row>
    <row r="24" spans="1:9" x14ac:dyDescent="0.3">
      <c r="A24" t="s">
        <v>42</v>
      </c>
      <c r="C24">
        <f>C18</f>
        <v>0</v>
      </c>
      <c r="E24">
        <v>0</v>
      </c>
      <c r="F24">
        <v>0</v>
      </c>
      <c r="G24">
        <v>0</v>
      </c>
      <c r="H24">
        <f t="shared" si="6"/>
        <v>0</v>
      </c>
      <c r="I24">
        <f t="shared" si="7"/>
        <v>0</v>
      </c>
    </row>
    <row r="25" spans="1:9" x14ac:dyDescent="0.3">
      <c r="C25">
        <f>C19</f>
        <v>15</v>
      </c>
      <c r="E25">
        <f t="shared" ref="E25:G28" si="8">E19*2</f>
        <v>0.30393018795550442</v>
      </c>
      <c r="F25">
        <f t="shared" si="8"/>
        <v>0.25365784426543919</v>
      </c>
      <c r="G25">
        <f t="shared" si="8"/>
        <v>0.2221598005370157</v>
      </c>
      <c r="H25">
        <f t="shared" si="6"/>
        <v>0.25991594425265313</v>
      </c>
      <c r="I25">
        <f t="shared" si="7"/>
        <v>4.1242840908815845E-2</v>
      </c>
    </row>
    <row r="26" spans="1:9" x14ac:dyDescent="0.3">
      <c r="C26">
        <f>C20</f>
        <v>30</v>
      </c>
      <c r="E26">
        <f t="shared" si="8"/>
        <v>0.49061449942462598</v>
      </c>
      <c r="F26">
        <f t="shared" si="8"/>
        <v>0.48190640583045646</v>
      </c>
      <c r="G26">
        <f t="shared" si="8"/>
        <v>0.83725968546221707</v>
      </c>
      <c r="H26">
        <f t="shared" si="6"/>
        <v>0.60326019690576649</v>
      </c>
      <c r="I26">
        <f t="shared" si="7"/>
        <v>0.2026962708266275</v>
      </c>
    </row>
    <row r="27" spans="1:9" x14ac:dyDescent="0.3">
      <c r="C27">
        <f>C21</f>
        <v>60</v>
      </c>
      <c r="E27">
        <f t="shared" si="8"/>
        <v>0.70338473341004992</v>
      </c>
      <c r="F27">
        <f t="shared" si="8"/>
        <v>0.75870349060222486</v>
      </c>
      <c r="G27">
        <f t="shared" si="8"/>
        <v>1.0426290755657843</v>
      </c>
      <c r="H27">
        <f t="shared" si="6"/>
        <v>0.83490576652601967</v>
      </c>
      <c r="I27">
        <f t="shared" si="7"/>
        <v>0.18200761265162446</v>
      </c>
    </row>
    <row r="28" spans="1:9" x14ac:dyDescent="0.3">
      <c r="C28">
        <f>C22</f>
        <v>120</v>
      </c>
      <c r="E28">
        <f t="shared" si="8"/>
        <v>0.75567548906789406</v>
      </c>
      <c r="F28">
        <f t="shared" si="8"/>
        <v>0.78580974299961637</v>
      </c>
      <c r="G28">
        <f t="shared" si="8"/>
        <v>0.97778519370924444</v>
      </c>
      <c r="H28">
        <f t="shared" si="6"/>
        <v>0.83975680859225166</v>
      </c>
      <c r="I28">
        <f t="shared" si="7"/>
        <v>0.12048192660523448</v>
      </c>
    </row>
    <row r="32" spans="1:9" ht="16.2" x14ac:dyDescent="0.35">
      <c r="B32" s="4"/>
      <c r="C32" s="4" t="s">
        <v>18</v>
      </c>
      <c r="D32" s="4" t="s">
        <v>19</v>
      </c>
    </row>
    <row r="33" spans="2:12" x14ac:dyDescent="0.3">
      <c r="B33" s="5"/>
      <c r="C33" s="5">
        <v>1.5</v>
      </c>
      <c r="D33" s="5">
        <v>0.2</v>
      </c>
      <c r="E33" s="3"/>
      <c r="F33" s="3"/>
      <c r="G33" s="3"/>
      <c r="H33" s="3"/>
    </row>
    <row r="34" spans="2:12" x14ac:dyDescent="0.3">
      <c r="B34" s="4"/>
      <c r="C34" s="6" t="s">
        <v>21</v>
      </c>
      <c r="D34" s="6" t="s">
        <v>21</v>
      </c>
      <c r="E34" s="3"/>
      <c r="F34" s="7"/>
      <c r="G34" s="3"/>
      <c r="H34" s="3"/>
    </row>
    <row r="35" spans="2:12" x14ac:dyDescent="0.3">
      <c r="B35" s="3"/>
      <c r="C35" s="3"/>
      <c r="D35" s="4" t="s">
        <v>23</v>
      </c>
      <c r="E35" s="3"/>
      <c r="F35" s="3"/>
      <c r="G35" s="3"/>
      <c r="H35" s="3"/>
      <c r="L35" t="s">
        <v>13</v>
      </c>
    </row>
    <row r="36" spans="2:12" x14ac:dyDescent="0.3">
      <c r="B36" s="4" t="s">
        <v>24</v>
      </c>
      <c r="C36" s="4" t="s">
        <v>25</v>
      </c>
      <c r="D36" t="s">
        <v>26</v>
      </c>
      <c r="E36" s="4" t="s">
        <v>27</v>
      </c>
      <c r="F36" s="4" t="s">
        <v>28</v>
      </c>
      <c r="G36" s="4" t="s">
        <v>29</v>
      </c>
      <c r="H36" s="4" t="s">
        <v>30</v>
      </c>
      <c r="K36" s="4" t="s">
        <v>41</v>
      </c>
      <c r="L36" s="13">
        <f>F42*(1/(1.12*L99))</f>
        <v>3.0207686076789271E-6</v>
      </c>
    </row>
    <row r="37" spans="2:12" x14ac:dyDescent="0.3">
      <c r="B37">
        <v>0</v>
      </c>
      <c r="C37" s="5">
        <v>0</v>
      </c>
      <c r="D37" s="8">
        <v>0</v>
      </c>
      <c r="E37" s="9">
        <v>0</v>
      </c>
      <c r="F37" s="10">
        <f>((1.5*D37)+(0.2*E37))/1.5</f>
        <v>0</v>
      </c>
      <c r="G37" s="10">
        <f>F37*1.5</f>
        <v>0</v>
      </c>
      <c r="H37" s="10">
        <v>0</v>
      </c>
    </row>
    <row r="38" spans="2:12" x14ac:dyDescent="0.3">
      <c r="B38">
        <f>C38*60</f>
        <v>900</v>
      </c>
      <c r="C38" s="5">
        <v>15</v>
      </c>
      <c r="D38" s="8">
        <f>H25</f>
        <v>0.25991594425265313</v>
      </c>
      <c r="E38" s="9">
        <f>$D37+$E37</f>
        <v>0</v>
      </c>
      <c r="F38" s="10">
        <f t="shared" ref="F38:F41" si="9">((1.5*D38)+(0.2*E38))/1.5</f>
        <v>0.25991594425265313</v>
      </c>
      <c r="G38" s="10">
        <f t="shared" ref="G38:G40" si="10">F38*1.5</f>
        <v>0.38987391637897972</v>
      </c>
      <c r="H38" s="10">
        <f>(G38/21.4546012)*100</f>
        <v>1.8172042106239652</v>
      </c>
    </row>
    <row r="39" spans="2:12" x14ac:dyDescent="0.3">
      <c r="B39">
        <f t="shared" ref="B39:B41" si="11">C39*60</f>
        <v>1800</v>
      </c>
      <c r="C39" s="5">
        <v>30</v>
      </c>
      <c r="D39" s="8">
        <f>H26</f>
        <v>0.60326019690576649</v>
      </c>
      <c r="E39" s="9">
        <f t="shared" ref="E39:E41" si="12">$D38+$E38</f>
        <v>0.25991594425265313</v>
      </c>
      <c r="F39" s="10">
        <f t="shared" si="9"/>
        <v>0.63791565613945356</v>
      </c>
      <c r="G39" s="10">
        <f t="shared" si="10"/>
        <v>0.95687348420918039</v>
      </c>
      <c r="H39" s="10">
        <f t="shared" ref="H39:H41" si="13">(G39/21.4546012)*100</f>
        <v>4.4599919396739027</v>
      </c>
    </row>
    <row r="40" spans="2:12" x14ac:dyDescent="0.3">
      <c r="B40">
        <f t="shared" si="11"/>
        <v>3600</v>
      </c>
      <c r="C40" s="5">
        <v>60</v>
      </c>
      <c r="D40" s="8">
        <f>H27</f>
        <v>0.83490576652601967</v>
      </c>
      <c r="E40" s="9">
        <f t="shared" si="12"/>
        <v>0.86317614115841956</v>
      </c>
      <c r="F40" s="10">
        <f t="shared" si="9"/>
        <v>0.94999591868047562</v>
      </c>
      <c r="G40" s="10">
        <f t="shared" si="10"/>
        <v>1.4249938780207134</v>
      </c>
      <c r="H40" s="10">
        <f t="shared" si="13"/>
        <v>6.6419033602018827</v>
      </c>
    </row>
    <row r="41" spans="2:12" x14ac:dyDescent="0.3">
      <c r="B41">
        <f t="shared" si="11"/>
        <v>7200</v>
      </c>
      <c r="C41" s="5">
        <v>120</v>
      </c>
      <c r="D41" s="8">
        <f>H28</f>
        <v>0.83975680859225166</v>
      </c>
      <c r="E41" s="9">
        <f t="shared" si="12"/>
        <v>1.6980819076844393</v>
      </c>
      <c r="F41" s="10">
        <f t="shared" si="9"/>
        <v>1.0661677296168435</v>
      </c>
      <c r="G41" s="10">
        <f>F41*1.5</f>
        <v>1.5992515944252652</v>
      </c>
      <c r="H41" s="10">
        <f t="shared" si="13"/>
        <v>7.4541194194989986</v>
      </c>
    </row>
    <row r="42" spans="2:12" x14ac:dyDescent="0.3">
      <c r="E42" s="11" t="s">
        <v>31</v>
      </c>
      <c r="F42">
        <f>SLOPE(F39:F41,B39:B41)</f>
        <v>7.2586512097060611E-5</v>
      </c>
    </row>
    <row r="43" spans="2:12" ht="16.2" x14ac:dyDescent="0.35">
      <c r="B43" t="s">
        <v>32</v>
      </c>
    </row>
    <row r="44" spans="2:12" ht="16.2" x14ac:dyDescent="0.35">
      <c r="B44" t="s">
        <v>33</v>
      </c>
    </row>
    <row r="45" spans="2:12" ht="16.2" x14ac:dyDescent="0.35">
      <c r="B45" t="s">
        <v>34</v>
      </c>
    </row>
    <row r="46" spans="2:12" x14ac:dyDescent="0.3">
      <c r="B46" t="s">
        <v>35</v>
      </c>
    </row>
    <row r="47" spans="2:12" ht="16.2" x14ac:dyDescent="0.35">
      <c r="B47" t="s">
        <v>36</v>
      </c>
    </row>
    <row r="49" spans="3:11" s="12" customFormat="1" x14ac:dyDescent="0.3"/>
    <row r="50" spans="3:11" x14ac:dyDescent="0.3">
      <c r="C50" s="2"/>
      <c r="D50" s="2"/>
      <c r="E50" s="2"/>
      <c r="F50" s="2"/>
      <c r="G50" s="2"/>
      <c r="H50" s="2"/>
      <c r="I50" s="2"/>
    </row>
    <row r="51" spans="3:11" x14ac:dyDescent="0.3">
      <c r="C51" t="s">
        <v>6</v>
      </c>
      <c r="D51" t="s">
        <v>14</v>
      </c>
    </row>
    <row r="53" spans="3:11" x14ac:dyDescent="0.3">
      <c r="C53" t="s">
        <v>7</v>
      </c>
      <c r="D53" t="s">
        <v>1</v>
      </c>
      <c r="E53" t="s">
        <v>0</v>
      </c>
    </row>
    <row r="54" spans="3:11" x14ac:dyDescent="0.3">
      <c r="E54">
        <v>1</v>
      </c>
      <c r="F54">
        <v>2</v>
      </c>
      <c r="G54">
        <v>3</v>
      </c>
      <c r="H54" t="s">
        <v>2</v>
      </c>
      <c r="I54" t="s">
        <v>3</v>
      </c>
      <c r="J54" t="s">
        <v>4</v>
      </c>
      <c r="K54" t="s">
        <v>5</v>
      </c>
    </row>
    <row r="55" spans="3:11" x14ac:dyDescent="0.3">
      <c r="C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3:11" x14ac:dyDescent="0.3">
      <c r="C56">
        <v>15</v>
      </c>
      <c r="E56">
        <v>1.3478000000000001</v>
      </c>
      <c r="F56">
        <v>1.1941200000000001</v>
      </c>
      <c r="G56">
        <v>1.7422</v>
      </c>
      <c r="H56">
        <f>AVERAGE(E56:G56)</f>
        <v>1.42804</v>
      </c>
      <c r="I56">
        <f>STDEV(E56:G56)</f>
        <v>0.28271322006584798</v>
      </c>
      <c r="J56">
        <f>I56/H56</f>
        <v>0.19797289996488052</v>
      </c>
      <c r="K56">
        <f>J56*100</f>
        <v>19.79728999648805</v>
      </c>
    </row>
    <row r="57" spans="3:11" x14ac:dyDescent="0.3">
      <c r="C57">
        <v>30</v>
      </c>
      <c r="E57">
        <v>4.0303699999999996</v>
      </c>
      <c r="F57">
        <v>3.5380600000000002</v>
      </c>
      <c r="G57">
        <v>5.5722899999999997</v>
      </c>
      <c r="H57">
        <f t="shared" ref="H57:H59" si="14">AVERAGE(E57:G57)</f>
        <v>4.3802399999999997</v>
      </c>
      <c r="I57">
        <f t="shared" ref="I57:I59" si="15">STDEV(E57:G57)</f>
        <v>1.0612868066173287</v>
      </c>
      <c r="J57">
        <f t="shared" ref="J57:J59" si="16">I57/H57</f>
        <v>0.24228964774015321</v>
      </c>
      <c r="K57">
        <f t="shared" ref="K57:K59" si="17">J57*100</f>
        <v>24.228964774015321</v>
      </c>
    </row>
    <row r="58" spans="3:11" x14ac:dyDescent="0.3">
      <c r="C58">
        <v>60</v>
      </c>
      <c r="E58">
        <v>8.6110299999999995</v>
      </c>
      <c r="F58">
        <v>7.6708999999999996</v>
      </c>
      <c r="G58">
        <v>10.42403</v>
      </c>
      <c r="H58">
        <f t="shared" si="14"/>
        <v>8.9019866666666658</v>
      </c>
      <c r="I58">
        <f t="shared" si="15"/>
        <v>1.3994366851106002</v>
      </c>
      <c r="J58">
        <f t="shared" si="16"/>
        <v>0.15720498552876588</v>
      </c>
      <c r="K58">
        <f t="shared" si="17"/>
        <v>15.720498552876588</v>
      </c>
    </row>
    <row r="59" spans="3:11" x14ac:dyDescent="0.3">
      <c r="C59">
        <v>120</v>
      </c>
      <c r="E59">
        <v>12.77472</v>
      </c>
      <c r="F59" s="1">
        <v>13.48995</v>
      </c>
      <c r="G59">
        <v>14.97334</v>
      </c>
      <c r="H59">
        <f t="shared" si="14"/>
        <v>13.746003333333334</v>
      </c>
      <c r="I59">
        <f t="shared" si="15"/>
        <v>1.1214521649331877</v>
      </c>
      <c r="J59">
        <f t="shared" si="16"/>
        <v>8.1583871161570662E-2</v>
      </c>
      <c r="K59">
        <f t="shared" si="17"/>
        <v>8.1583871161570656</v>
      </c>
    </row>
    <row r="61" spans="3:11" x14ac:dyDescent="0.3">
      <c r="C61">
        <v>15</v>
      </c>
      <c r="E61">
        <f>(E56+1.8971)/26.07</f>
        <v>0.12446873801304183</v>
      </c>
      <c r="F61">
        <f t="shared" ref="F61:G61" si="18">(F56+1.8971)/26.07</f>
        <v>0.11857383966244725</v>
      </c>
      <c r="G61">
        <f t="shared" si="18"/>
        <v>0.13959723820483314</v>
      </c>
      <c r="H61">
        <f t="shared" ref="H61:H65" si="19">AVERAGE(E61:G61)</f>
        <v>0.12754660529344075</v>
      </c>
      <c r="I61">
        <f t="shared" ref="I61:I63" si="20">STDEV(E61:G61)</f>
        <v>1.0844388955345103E-2</v>
      </c>
      <c r="J61">
        <f t="shared" ref="J61:J63" si="21">I61/H61</f>
        <v>8.502295243684381E-2</v>
      </c>
      <c r="K61">
        <f t="shared" ref="K61:K63" si="22">J61*100</f>
        <v>8.5022952436843813</v>
      </c>
    </row>
    <row r="62" spans="3:11" x14ac:dyDescent="0.3">
      <c r="C62">
        <v>30</v>
      </c>
      <c r="E62">
        <f t="shared" ref="E62:G64" si="23">(E57+1.8971)/26.07</f>
        <v>0.22736747219025699</v>
      </c>
      <c r="F62">
        <f t="shared" si="23"/>
        <v>0.20848331415420021</v>
      </c>
      <c r="G62">
        <f t="shared" si="23"/>
        <v>0.28651285001917914</v>
      </c>
      <c r="H62">
        <f t="shared" si="19"/>
        <v>0.24078787878787877</v>
      </c>
      <c r="I62">
        <f t="shared" si="20"/>
        <v>4.0709121849532966E-2</v>
      </c>
      <c r="J62">
        <f t="shared" si="21"/>
        <v>0.16906632532526905</v>
      </c>
      <c r="K62">
        <f t="shared" si="22"/>
        <v>16.906632532526906</v>
      </c>
    </row>
    <row r="63" spans="3:11" x14ac:dyDescent="0.3">
      <c r="C63">
        <v>60</v>
      </c>
      <c r="E63">
        <f t="shared" si="23"/>
        <v>0.40307364787111621</v>
      </c>
      <c r="F63">
        <f t="shared" si="23"/>
        <v>0.36701189106252396</v>
      </c>
      <c r="G63">
        <f t="shared" si="23"/>
        <v>0.47261718450326046</v>
      </c>
      <c r="H63">
        <f t="shared" si="19"/>
        <v>0.41423424114563351</v>
      </c>
      <c r="I63">
        <f t="shared" si="20"/>
        <v>5.367996490642913E-2</v>
      </c>
      <c r="J63">
        <f t="shared" si="21"/>
        <v>0.12958842986511274</v>
      </c>
      <c r="K63">
        <f t="shared" si="22"/>
        <v>12.958842986511273</v>
      </c>
    </row>
    <row r="64" spans="3:11" x14ac:dyDescent="0.3">
      <c r="C64">
        <v>120</v>
      </c>
      <c r="E64">
        <f t="shared" si="23"/>
        <v>0.56278557729190637</v>
      </c>
      <c r="F64">
        <f t="shared" si="23"/>
        <v>0.59022056003068657</v>
      </c>
      <c r="G64">
        <f t="shared" si="23"/>
        <v>0.64712082853855013</v>
      </c>
      <c r="H64">
        <f t="shared" si="19"/>
        <v>0.60004232195371432</v>
      </c>
      <c r="I64">
        <f>STDEV(E64:G64)</f>
        <v>4.3016960680214392E-2</v>
      </c>
      <c r="J64">
        <f>I64/H64</f>
        <v>7.1689877707547117E-2</v>
      </c>
      <c r="K64">
        <f>J64*100</f>
        <v>7.1689877707547121</v>
      </c>
    </row>
    <row r="65" spans="2:11" x14ac:dyDescent="0.3">
      <c r="H65" t="e">
        <f t="shared" si="19"/>
        <v>#DIV/0!</v>
      </c>
      <c r="I65" t="e">
        <f t="shared" ref="I65" si="24">STDEV(E65:G65)</f>
        <v>#DIV/0!</v>
      </c>
      <c r="J65" t="e">
        <f t="shared" ref="J65" si="25">I65/H65</f>
        <v>#DIV/0!</v>
      </c>
      <c r="K65" t="e">
        <f t="shared" ref="K65" si="26">J65*100</f>
        <v>#DIV/0!</v>
      </c>
    </row>
    <row r="69" spans="2:11" x14ac:dyDescent="0.3">
      <c r="J69" s="26"/>
      <c r="K69" s="26"/>
    </row>
    <row r="70" spans="2:11" x14ac:dyDescent="0.3">
      <c r="B70" t="s">
        <v>43</v>
      </c>
      <c r="E70">
        <v>1</v>
      </c>
      <c r="F70">
        <v>2</v>
      </c>
      <c r="G70">
        <v>3</v>
      </c>
      <c r="H70" t="s">
        <v>2</v>
      </c>
      <c r="I70" t="s">
        <v>3</v>
      </c>
    </row>
    <row r="71" spans="2:11" x14ac:dyDescent="0.3">
      <c r="C71">
        <f>C55</f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2:11" x14ac:dyDescent="0.3">
      <c r="C72">
        <f>C56</f>
        <v>15</v>
      </c>
      <c r="E72">
        <f>E61*4</f>
        <v>0.49787495205216731</v>
      </c>
      <c r="F72">
        <f t="shared" ref="F72:G72" si="27">F61*4</f>
        <v>0.474295358649789</v>
      </c>
      <c r="G72">
        <f t="shared" si="27"/>
        <v>0.55838895281933254</v>
      </c>
      <c r="H72">
        <f>AVERAGE(E72:G72)</f>
        <v>0.51018642117376301</v>
      </c>
      <c r="I72">
        <f>STDEV(E72:G72)</f>
        <v>4.3377555821380413E-2</v>
      </c>
    </row>
    <row r="73" spans="2:11" x14ac:dyDescent="0.3">
      <c r="C73">
        <f>C57</f>
        <v>30</v>
      </c>
      <c r="E73">
        <f t="shared" ref="E73:G75" si="28">E62*4</f>
        <v>0.90946988876102797</v>
      </c>
      <c r="F73">
        <f t="shared" si="28"/>
        <v>0.83393325661680084</v>
      </c>
      <c r="G73">
        <f t="shared" si="28"/>
        <v>1.1460514000767166</v>
      </c>
      <c r="H73">
        <f t="shared" ref="H73:H75" si="29">AVERAGE(E73:G73)</f>
        <v>0.96315151515151509</v>
      </c>
      <c r="I73">
        <f t="shared" ref="I73:I75" si="30">STDEV(E73:G73)</f>
        <v>0.16283648739813186</v>
      </c>
    </row>
    <row r="74" spans="2:11" x14ac:dyDescent="0.3">
      <c r="C74">
        <f>C58</f>
        <v>60</v>
      </c>
      <c r="E74">
        <f t="shared" si="28"/>
        <v>1.6122945914844649</v>
      </c>
      <c r="F74">
        <f t="shared" si="28"/>
        <v>1.4680475642500959</v>
      </c>
      <c r="G74">
        <f t="shared" si="28"/>
        <v>1.8904687380130418</v>
      </c>
      <c r="H74">
        <f t="shared" si="29"/>
        <v>1.656936964582534</v>
      </c>
      <c r="I74">
        <f t="shared" si="30"/>
        <v>0.21471985962571652</v>
      </c>
    </row>
    <row r="75" spans="2:11" x14ac:dyDescent="0.3">
      <c r="C75">
        <f>C59</f>
        <v>120</v>
      </c>
      <c r="E75">
        <f t="shared" si="28"/>
        <v>2.2511423091676255</v>
      </c>
      <c r="F75">
        <f t="shared" si="28"/>
        <v>2.3608822401227463</v>
      </c>
      <c r="G75">
        <f t="shared" si="28"/>
        <v>2.5884833141542005</v>
      </c>
      <c r="H75">
        <f t="shared" si="29"/>
        <v>2.4001692878148573</v>
      </c>
      <c r="I75">
        <f t="shared" si="30"/>
        <v>0.17206784272085757</v>
      </c>
    </row>
    <row r="79" spans="2:11" ht="16.2" x14ac:dyDescent="0.35">
      <c r="D79" s="4"/>
      <c r="E79" s="4" t="s">
        <v>18</v>
      </c>
      <c r="F79" s="4" t="s">
        <v>19</v>
      </c>
      <c r="H79" t="s">
        <v>20</v>
      </c>
    </row>
    <row r="80" spans="2:11" x14ac:dyDescent="0.3">
      <c r="D80" s="5"/>
      <c r="E80" s="5">
        <v>0.5</v>
      </c>
      <c r="F80" s="5">
        <v>0.1</v>
      </c>
      <c r="G80" s="3"/>
      <c r="H80" s="3">
        <v>10000</v>
      </c>
      <c r="I80" s="3"/>
      <c r="J80" s="3"/>
    </row>
    <row r="81" spans="4:13" x14ac:dyDescent="0.3">
      <c r="D81" s="4"/>
      <c r="E81" s="6" t="s">
        <v>21</v>
      </c>
      <c r="F81" s="6" t="s">
        <v>21</v>
      </c>
      <c r="G81" s="3"/>
      <c r="H81" s="7" t="s">
        <v>22</v>
      </c>
      <c r="I81" s="3"/>
      <c r="J81" s="3"/>
    </row>
    <row r="82" spans="4:13" x14ac:dyDescent="0.3">
      <c r="D82" s="3"/>
      <c r="E82" s="3"/>
      <c r="F82" s="4" t="s">
        <v>23</v>
      </c>
      <c r="G82" s="3"/>
      <c r="H82" s="3"/>
      <c r="I82" s="3"/>
      <c r="J82" s="3"/>
      <c r="M82" t="s">
        <v>14</v>
      </c>
    </row>
    <row r="83" spans="4:13" x14ac:dyDescent="0.3">
      <c r="D83" s="4" t="s">
        <v>24</v>
      </c>
      <c r="E83" s="4" t="s">
        <v>25</v>
      </c>
      <c r="F83" t="s">
        <v>26</v>
      </c>
      <c r="G83" s="4" t="s">
        <v>27</v>
      </c>
      <c r="H83" s="4" t="s">
        <v>28</v>
      </c>
      <c r="I83" s="4" t="s">
        <v>29</v>
      </c>
      <c r="J83" s="4" t="s">
        <v>30</v>
      </c>
      <c r="L83" s="4" t="s">
        <v>41</v>
      </c>
      <c r="M83" s="13">
        <f>H89*(1/(1.12*L105))</f>
        <v>1.6488222099408152E-5</v>
      </c>
    </row>
    <row r="84" spans="4:13" x14ac:dyDescent="0.3">
      <c r="D84">
        <v>0</v>
      </c>
      <c r="E84" s="5">
        <v>0</v>
      </c>
      <c r="F84" s="8">
        <v>0</v>
      </c>
      <c r="G84" s="9">
        <v>0</v>
      </c>
      <c r="H84" s="10">
        <f>((0.5*F84)+(0.1*G84))/0.5</f>
        <v>0</v>
      </c>
      <c r="I84" s="10">
        <f>H84*0.5</f>
        <v>0</v>
      </c>
      <c r="J84" s="10">
        <f>(I84/22.55873776)*100</f>
        <v>0</v>
      </c>
    </row>
    <row r="85" spans="4:13" x14ac:dyDescent="0.3">
      <c r="D85">
        <f>E85*60</f>
        <v>900</v>
      </c>
      <c r="E85" s="5">
        <v>15</v>
      </c>
      <c r="F85" s="8">
        <f>H72</f>
        <v>0.51018642117376301</v>
      </c>
      <c r="G85" s="9">
        <f>$F84+$G84</f>
        <v>0</v>
      </c>
      <c r="H85" s="10">
        <f t="shared" ref="H85:H88" si="31">((0.5*F85)+(0.1*G85))/0.5</f>
        <v>0.51018642117376301</v>
      </c>
      <c r="I85" s="10">
        <f t="shared" ref="I85:I88" si="32">H85*0.5</f>
        <v>0.2550932105868815</v>
      </c>
      <c r="J85" s="10">
        <f t="shared" ref="J85:J88" si="33">(I85/22.55873776)*100</f>
        <v>1.1307955848451758</v>
      </c>
    </row>
    <row r="86" spans="4:13" x14ac:dyDescent="0.3">
      <c r="D86">
        <f t="shared" ref="D86:D88" si="34">E86*60</f>
        <v>1800</v>
      </c>
      <c r="E86" s="5">
        <v>30</v>
      </c>
      <c r="F86" s="8">
        <f t="shared" ref="F86:F88" si="35">H73</f>
        <v>0.96315151515151509</v>
      </c>
      <c r="G86" s="9">
        <f t="shared" ref="G86:G88" si="36">$F85+$G85</f>
        <v>0.51018642117376301</v>
      </c>
      <c r="H86" s="10">
        <f t="shared" si="31"/>
        <v>1.0651887993862676</v>
      </c>
      <c r="I86" s="10">
        <f t="shared" si="32"/>
        <v>0.53259439969313382</v>
      </c>
      <c r="J86" s="10">
        <f t="shared" si="33"/>
        <v>2.3609228732535867</v>
      </c>
    </row>
    <row r="87" spans="4:13" x14ac:dyDescent="0.3">
      <c r="D87">
        <f t="shared" si="34"/>
        <v>3600</v>
      </c>
      <c r="E87" s="5">
        <v>60</v>
      </c>
      <c r="F87" s="8">
        <f t="shared" si="35"/>
        <v>1.656936964582534</v>
      </c>
      <c r="G87" s="9">
        <f t="shared" si="36"/>
        <v>1.4733379363252781</v>
      </c>
      <c r="H87" s="10">
        <f t="shared" si="31"/>
        <v>1.9516045518475897</v>
      </c>
      <c r="I87" s="10">
        <f t="shared" si="32"/>
        <v>0.97580227592379487</v>
      </c>
      <c r="J87" s="10">
        <f t="shared" si="33"/>
        <v>4.3256067174735175</v>
      </c>
    </row>
    <row r="88" spans="4:13" x14ac:dyDescent="0.3">
      <c r="D88">
        <f t="shared" si="34"/>
        <v>7200</v>
      </c>
      <c r="E88" s="5">
        <v>120</v>
      </c>
      <c r="F88" s="8">
        <f t="shared" si="35"/>
        <v>2.4001692878148573</v>
      </c>
      <c r="G88" s="9">
        <f t="shared" si="36"/>
        <v>3.1302749009078124</v>
      </c>
      <c r="H88" s="10">
        <f t="shared" si="31"/>
        <v>3.0262242679964197</v>
      </c>
      <c r="I88" s="10">
        <f t="shared" si="32"/>
        <v>1.5131121339982099</v>
      </c>
      <c r="J88" s="10">
        <f t="shared" si="33"/>
        <v>6.7074326147856684</v>
      </c>
    </row>
    <row r="89" spans="4:13" x14ac:dyDescent="0.3">
      <c r="G89" s="11" t="s">
        <v>31</v>
      </c>
      <c r="H89">
        <f>SLOPE(H84:H88,D84:D88)</f>
        <v>4.1658789583599713E-4</v>
      </c>
    </row>
    <row r="90" spans="4:13" ht="16.2" x14ac:dyDescent="0.35">
      <c r="D90" t="s">
        <v>32</v>
      </c>
    </row>
    <row r="91" spans="4:13" ht="16.2" x14ac:dyDescent="0.35">
      <c r="D91" t="s">
        <v>33</v>
      </c>
    </row>
    <row r="92" spans="4:13" ht="16.2" x14ac:dyDescent="0.35">
      <c r="D92" t="s">
        <v>34</v>
      </c>
    </row>
    <row r="93" spans="4:13" x14ac:dyDescent="0.3">
      <c r="D93" t="s">
        <v>35</v>
      </c>
    </row>
    <row r="94" spans="4:13" ht="16.2" x14ac:dyDescent="0.35">
      <c r="D94" t="s">
        <v>36</v>
      </c>
    </row>
    <row r="96" spans="4:13" s="12" customFormat="1" x14ac:dyDescent="0.3"/>
    <row r="98" spans="3:12" x14ac:dyDescent="0.3">
      <c r="C98" t="s">
        <v>10</v>
      </c>
      <c r="H98" t="s">
        <v>2</v>
      </c>
      <c r="I98" t="s">
        <v>3</v>
      </c>
      <c r="K98" t="s">
        <v>37</v>
      </c>
      <c r="L98" t="s">
        <v>40</v>
      </c>
    </row>
    <row r="99" spans="3:12" x14ac:dyDescent="0.3">
      <c r="C99">
        <v>0</v>
      </c>
      <c r="E99">
        <v>133.83904999999999</v>
      </c>
      <c r="F99">
        <v>143.57372000000001</v>
      </c>
      <c r="G99">
        <v>136.38702000000001</v>
      </c>
      <c r="H99">
        <f t="shared" ref="H99:H106" si="37">AVERAGE(E99:G99)</f>
        <v>137.93326333333334</v>
      </c>
      <c r="I99">
        <f t="shared" ref="I99:I106" si="38">STDEV(E99:G99)</f>
        <v>5.0481780214878942</v>
      </c>
      <c r="K99">
        <f>(H99+1.8971)/26.07</f>
        <v>5.3636503004730853</v>
      </c>
      <c r="L99">
        <f>K99*4</f>
        <v>21.454601201892341</v>
      </c>
    </row>
    <row r="100" spans="3:12" x14ac:dyDescent="0.3">
      <c r="C100">
        <v>120</v>
      </c>
      <c r="E100">
        <v>17.86598</v>
      </c>
      <c r="F100">
        <v>19.283470000000001</v>
      </c>
      <c r="G100">
        <v>18.37621</v>
      </c>
      <c r="H100">
        <f t="shared" si="37"/>
        <v>18.508553333333335</v>
      </c>
      <c r="I100">
        <f t="shared" si="38"/>
        <v>0.71795232671350395</v>
      </c>
      <c r="K100">
        <f>(H100+1.8971)/26.07</f>
        <v>0.78272548267484976</v>
      </c>
      <c r="L100">
        <f>K100*4</f>
        <v>3.130901930699399</v>
      </c>
    </row>
    <row r="104" spans="3:12" x14ac:dyDescent="0.3">
      <c r="C104" t="s">
        <v>11</v>
      </c>
    </row>
    <row r="105" spans="3:12" x14ac:dyDescent="0.3">
      <c r="C105">
        <v>0</v>
      </c>
      <c r="E105">
        <v>287.28928000000002</v>
      </c>
      <c r="F105">
        <v>288.09438999999998</v>
      </c>
      <c r="G105">
        <v>301.08447000000001</v>
      </c>
      <c r="H105">
        <f t="shared" si="37"/>
        <v>292.15604666666667</v>
      </c>
      <c r="I105">
        <f t="shared" si="38"/>
        <v>7.7427132158199834</v>
      </c>
      <c r="K105">
        <f>(H105+1.8971)/26.07</f>
        <v>11.279368878660019</v>
      </c>
      <c r="L105">
        <f>K105*2</f>
        <v>22.558737757320038</v>
      </c>
    </row>
    <row r="106" spans="3:12" x14ac:dyDescent="0.3">
      <c r="C106">
        <v>120</v>
      </c>
      <c r="E106">
        <v>181.14734999999999</v>
      </c>
      <c r="F106">
        <v>206.95284000000001</v>
      </c>
      <c r="G106">
        <v>198.25647000000001</v>
      </c>
      <c r="H106">
        <f t="shared" si="37"/>
        <v>195.45222000000001</v>
      </c>
      <c r="I106">
        <f t="shared" si="38"/>
        <v>13.129306610857267</v>
      </c>
      <c r="K106">
        <f>(H106+1.8971)/26.07</f>
        <v>7.5699777522056007</v>
      </c>
      <c r="L106">
        <f>K106*2</f>
        <v>15.139955504411201</v>
      </c>
    </row>
    <row r="108" spans="3:12" x14ac:dyDescent="0.3">
      <c r="F108" s="1"/>
    </row>
    <row r="109" spans="3:12" x14ac:dyDescent="0.3">
      <c r="H109" t="s">
        <v>2</v>
      </c>
    </row>
    <row r="110" spans="3:12" x14ac:dyDescent="0.3">
      <c r="C110" t="s">
        <v>16</v>
      </c>
      <c r="D110" t="s">
        <v>17</v>
      </c>
      <c r="E110">
        <v>747.20672999999999</v>
      </c>
      <c r="F110">
        <v>747.10991999999999</v>
      </c>
      <c r="G110">
        <v>745.98590000000002</v>
      </c>
      <c r="H110">
        <f>AVERAGE(E110:G110)</f>
        <v>746.76751666666667</v>
      </c>
    </row>
    <row r="111" spans="3:12" x14ac:dyDescent="0.3">
      <c r="D111" t="s">
        <v>38</v>
      </c>
      <c r="E111">
        <f>(E110+1.8971)/26.07</f>
        <v>28.734324127349446</v>
      </c>
      <c r="F111">
        <f t="shared" ref="F111:G111" si="39">(F110+1.8971)/26.07</f>
        <v>28.730610663598007</v>
      </c>
      <c r="G111">
        <f t="shared" si="39"/>
        <v>28.687495205216724</v>
      </c>
      <c r="H111">
        <f t="shared" ref="H111:H112" si="40">AVERAGE(E111:G111)</f>
        <v>28.717476665388059</v>
      </c>
    </row>
    <row r="112" spans="3:12" x14ac:dyDescent="0.3">
      <c r="D112" t="s">
        <v>39</v>
      </c>
      <c r="E112">
        <f>E111/4</f>
        <v>7.1835810318373614</v>
      </c>
      <c r="F112">
        <f t="shared" ref="F112:G112" si="41">F111/4</f>
        <v>7.1826526658995018</v>
      </c>
      <c r="G112">
        <f t="shared" si="41"/>
        <v>7.171873801304181</v>
      </c>
      <c r="H112">
        <f t="shared" si="40"/>
        <v>7.1793691663470147</v>
      </c>
    </row>
    <row r="119" spans="3:4" s="14" customFormat="1" x14ac:dyDescent="0.3"/>
    <row r="120" spans="3:4" s="14" customFormat="1" x14ac:dyDescent="0.3"/>
    <row r="127" spans="3:4" x14ac:dyDescent="0.3">
      <c r="C127" t="s">
        <v>15</v>
      </c>
      <c r="D127" t="s">
        <v>13</v>
      </c>
    </row>
    <row r="129" spans="3:11" x14ac:dyDescent="0.3">
      <c r="C129" t="s">
        <v>7</v>
      </c>
      <c r="D129" t="s">
        <v>1</v>
      </c>
      <c r="E129" t="s">
        <v>0</v>
      </c>
    </row>
    <row r="130" spans="3:11" x14ac:dyDescent="0.3">
      <c r="E130">
        <v>1</v>
      </c>
      <c r="F130">
        <v>2</v>
      </c>
      <c r="G130">
        <v>3</v>
      </c>
      <c r="H130" t="s">
        <v>2</v>
      </c>
      <c r="I130" t="s">
        <v>3</v>
      </c>
      <c r="J130" t="s">
        <v>4</v>
      </c>
      <c r="K130" t="s">
        <v>5</v>
      </c>
    </row>
    <row r="131" spans="3:11" x14ac:dyDescent="0.3">
      <c r="C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3:11" x14ac:dyDescent="0.3">
      <c r="C132">
        <v>15</v>
      </c>
      <c r="E132" s="1">
        <v>1.629</v>
      </c>
      <c r="F132" s="1">
        <v>0.88671299999999997</v>
      </c>
      <c r="G132" s="1">
        <v>0.62923600000000002</v>
      </c>
      <c r="H132">
        <f>AVERAGE(E132:G132)</f>
        <v>1.0483163333333334</v>
      </c>
      <c r="I132">
        <f>STDEV(E132:G132)</f>
        <v>0.51910378724522244</v>
      </c>
      <c r="J132">
        <f>I132/H132</f>
        <v>0.49517857419489703</v>
      </c>
      <c r="K132">
        <f>J132*100</f>
        <v>49.517857419489701</v>
      </c>
    </row>
    <row r="133" spans="3:11" x14ac:dyDescent="0.3">
      <c r="C133">
        <v>30</v>
      </c>
      <c r="E133" s="1">
        <v>2.6761699999999999</v>
      </c>
      <c r="F133" s="1">
        <v>1.83134</v>
      </c>
      <c r="G133" s="1"/>
      <c r="H133">
        <f t="shared" ref="H133:H134" si="42">AVERAGE(E133:G133)</f>
        <v>2.253755</v>
      </c>
      <c r="I133">
        <f t="shared" ref="I133:I134" si="43">STDEV(E133:G133)</f>
        <v>0.5973850219498309</v>
      </c>
      <c r="J133">
        <f t="shared" ref="J133:J135" si="44">I133/H133</f>
        <v>0.26506209501468925</v>
      </c>
      <c r="K133">
        <f t="shared" ref="K133:K135" si="45">J133*100</f>
        <v>26.506209501468923</v>
      </c>
    </row>
    <row r="134" spans="3:11" x14ac:dyDescent="0.3">
      <c r="C134">
        <v>60</v>
      </c>
      <c r="E134" s="1">
        <v>3.57755</v>
      </c>
      <c r="F134" s="1">
        <v>4.6523199999999996</v>
      </c>
      <c r="G134" s="1"/>
      <c r="H134">
        <f t="shared" si="42"/>
        <v>4.114935</v>
      </c>
      <c r="I134">
        <f t="shared" si="43"/>
        <v>0.75997715521586717</v>
      </c>
      <c r="J134">
        <f t="shared" si="44"/>
        <v>0.18468752367069399</v>
      </c>
      <c r="K134">
        <f t="shared" si="45"/>
        <v>18.468752367069399</v>
      </c>
    </row>
    <row r="135" spans="3:11" x14ac:dyDescent="0.3">
      <c r="C135">
        <v>120</v>
      </c>
      <c r="E135" s="1">
        <v>4.5341199999999997</v>
      </c>
      <c r="F135" s="1">
        <v>6.38964</v>
      </c>
      <c r="G135" s="1"/>
      <c r="H135">
        <f>AVERAGE(E135:G135)</f>
        <v>5.4618799999999998</v>
      </c>
      <c r="I135">
        <f>STDEV(E135:G135)</f>
        <v>1.3120507746272647</v>
      </c>
      <c r="J135">
        <f t="shared" si="44"/>
        <v>0.24021962669030897</v>
      </c>
      <c r="K135">
        <f t="shared" si="45"/>
        <v>24.021962669030898</v>
      </c>
    </row>
    <row r="136" spans="3:11" x14ac:dyDescent="0.3">
      <c r="G136" s="1"/>
    </row>
    <row r="140" spans="3:11" x14ac:dyDescent="0.3">
      <c r="J140" s="26"/>
      <c r="K140" s="26"/>
    </row>
    <row r="141" spans="3:11" x14ac:dyDescent="0.3">
      <c r="C141" t="s">
        <v>7</v>
      </c>
      <c r="E141">
        <v>1</v>
      </c>
      <c r="F141">
        <v>2</v>
      </c>
      <c r="G141">
        <v>3</v>
      </c>
      <c r="H141" t="s">
        <v>2</v>
      </c>
      <c r="I141" t="s">
        <v>3</v>
      </c>
    </row>
    <row r="142" spans="3:11" x14ac:dyDescent="0.3">
      <c r="C142">
        <f>C131</f>
        <v>0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3:11" x14ac:dyDescent="0.3">
      <c r="C143">
        <f>C132</f>
        <v>15</v>
      </c>
      <c r="E143">
        <f>(E132-0.8712)/28.936</f>
        <v>2.6188830522532486E-2</v>
      </c>
      <c r="F143">
        <f t="shared" ref="F143" si="46">(F132-0.8712)/28.936</f>
        <v>5.3611418302460597E-4</v>
      </c>
      <c r="G143">
        <v>0</v>
      </c>
      <c r="H143">
        <f>AVERAGE(E143:G143)</f>
        <v>8.9083149018523641E-3</v>
      </c>
      <c r="I143">
        <f>STDEV(E143:G143)</f>
        <v>1.4967766022080159E-2</v>
      </c>
    </row>
    <row r="144" spans="3:11" x14ac:dyDescent="0.3">
      <c r="C144">
        <f>C133</f>
        <v>30</v>
      </c>
      <c r="E144">
        <f t="shared" ref="E144:F144" si="47">(E133-0.8712)/28.936</f>
        <v>6.2378006635333147E-2</v>
      </c>
      <c r="F144">
        <f t="shared" si="47"/>
        <v>3.3181504008847111E-2</v>
      </c>
      <c r="H144">
        <f t="shared" ref="H144:H146" si="48">AVERAGE(E144:G144)</f>
        <v>4.7779755322090126E-2</v>
      </c>
      <c r="I144">
        <f t="shared" ref="I144:I146" si="49">STDEV(E144:G144)</f>
        <v>2.0645044994119139E-2</v>
      </c>
    </row>
    <row r="145" spans="1:12" x14ac:dyDescent="0.3">
      <c r="C145">
        <f>C134</f>
        <v>60</v>
      </c>
      <c r="E145">
        <f t="shared" ref="E145:F145" si="50">(E134-0.8712)/28.936</f>
        <v>9.3528822228366046E-2</v>
      </c>
      <c r="F145">
        <f t="shared" si="50"/>
        <v>0.1306718274813381</v>
      </c>
      <c r="H145">
        <f t="shared" si="48"/>
        <v>0.11210032485485208</v>
      </c>
      <c r="I145">
        <f t="shared" si="49"/>
        <v>2.6264070888024037E-2</v>
      </c>
    </row>
    <row r="146" spans="1:12" x14ac:dyDescent="0.3">
      <c r="C146">
        <f>C135</f>
        <v>120</v>
      </c>
      <c r="E146">
        <f t="shared" ref="E146:F146" si="51">(E135-0.8712)/28.936</f>
        <v>0.12658695051147359</v>
      </c>
      <c r="F146">
        <f t="shared" si="51"/>
        <v>0.19071191595244677</v>
      </c>
      <c r="H146">
        <f t="shared" si="48"/>
        <v>0.15864943323196018</v>
      </c>
      <c r="I146">
        <f t="shared" si="49"/>
        <v>4.5343197906665231E-2</v>
      </c>
    </row>
    <row r="148" spans="1:12" x14ac:dyDescent="0.3">
      <c r="A148" t="s">
        <v>42</v>
      </c>
      <c r="C148">
        <f>C142</f>
        <v>0</v>
      </c>
      <c r="E148">
        <v>0</v>
      </c>
      <c r="F148">
        <v>0</v>
      </c>
      <c r="G148">
        <v>0</v>
      </c>
      <c r="H148">
        <f t="shared" ref="H148:H152" si="52">AVERAGE(E148:G148)</f>
        <v>0</v>
      </c>
      <c r="I148">
        <f t="shared" ref="I148:I152" si="53">STDEV(E148:G148)</f>
        <v>0</v>
      </c>
    </row>
    <row r="149" spans="1:12" x14ac:dyDescent="0.3">
      <c r="C149">
        <f>C143</f>
        <v>15</v>
      </c>
      <c r="E149">
        <f t="shared" ref="E149:G152" si="54">E143*2</f>
        <v>5.2377661045064972E-2</v>
      </c>
      <c r="F149">
        <f t="shared" si="54"/>
        <v>1.0722283660492119E-3</v>
      </c>
      <c r="G149">
        <f t="shared" si="54"/>
        <v>0</v>
      </c>
      <c r="H149">
        <f t="shared" si="52"/>
        <v>1.7816629803704728E-2</v>
      </c>
      <c r="I149">
        <f t="shared" si="53"/>
        <v>2.9935532044160319E-2</v>
      </c>
    </row>
    <row r="150" spans="1:12" x14ac:dyDescent="0.3">
      <c r="C150">
        <f>C144</f>
        <v>30</v>
      </c>
      <c r="E150">
        <f t="shared" si="54"/>
        <v>0.12475601327066629</v>
      </c>
      <c r="F150">
        <f t="shared" si="54"/>
        <v>6.6363008017694222E-2</v>
      </c>
      <c r="G150">
        <f t="shared" si="54"/>
        <v>0</v>
      </c>
      <c r="H150">
        <f t="shared" si="52"/>
        <v>6.3706340429453501E-2</v>
      </c>
      <c r="I150">
        <f t="shared" si="53"/>
        <v>6.242042232958276E-2</v>
      </c>
    </row>
    <row r="151" spans="1:12" x14ac:dyDescent="0.3">
      <c r="C151">
        <f>C145</f>
        <v>60</v>
      </c>
      <c r="E151">
        <f t="shared" si="54"/>
        <v>0.18705764445673209</v>
      </c>
      <c r="F151">
        <f t="shared" si="54"/>
        <v>0.2613436549626762</v>
      </c>
      <c r="G151">
        <f t="shared" si="54"/>
        <v>0</v>
      </c>
      <c r="H151">
        <f t="shared" si="52"/>
        <v>0.14946709980646944</v>
      </c>
      <c r="I151">
        <f t="shared" si="53"/>
        <v>0.13466593215301384</v>
      </c>
    </row>
    <row r="152" spans="1:12" x14ac:dyDescent="0.3">
      <c r="C152">
        <f>C146</f>
        <v>120</v>
      </c>
      <c r="E152">
        <f t="shared" si="54"/>
        <v>0.25317390102294718</v>
      </c>
      <c r="F152">
        <f t="shared" si="54"/>
        <v>0.38142383190489354</v>
      </c>
      <c r="G152">
        <f t="shared" si="54"/>
        <v>0</v>
      </c>
      <c r="H152">
        <f t="shared" si="52"/>
        <v>0.21153257764261357</v>
      </c>
      <c r="I152">
        <f t="shared" si="53"/>
        <v>0.19409156278906683</v>
      </c>
    </row>
    <row r="156" spans="1:12" ht="16.2" x14ac:dyDescent="0.35">
      <c r="B156" s="4"/>
      <c r="C156" s="4" t="s">
        <v>18</v>
      </c>
      <c r="D156" s="4" t="s">
        <v>19</v>
      </c>
      <c r="F156" t="s">
        <v>20</v>
      </c>
    </row>
    <row r="157" spans="1:12" x14ac:dyDescent="0.3">
      <c r="B157" s="5"/>
      <c r="C157" s="5">
        <v>1.5</v>
      </c>
      <c r="D157" s="5">
        <v>0.2</v>
      </c>
      <c r="E157" s="3"/>
      <c r="F157" s="3">
        <v>10000</v>
      </c>
      <c r="G157" s="3"/>
      <c r="H157" s="3"/>
    </row>
    <row r="158" spans="1:12" x14ac:dyDescent="0.3">
      <c r="B158" s="4"/>
      <c r="C158" s="6" t="s">
        <v>21</v>
      </c>
      <c r="D158" s="6" t="s">
        <v>21</v>
      </c>
      <c r="E158" s="3"/>
      <c r="F158" s="7" t="s">
        <v>22</v>
      </c>
      <c r="G158" s="3"/>
      <c r="H158" s="3"/>
    </row>
    <row r="159" spans="1:12" x14ac:dyDescent="0.3">
      <c r="B159" s="3"/>
      <c r="C159" s="3"/>
      <c r="D159" s="4" t="s">
        <v>23</v>
      </c>
      <c r="E159" s="3"/>
      <c r="F159" s="3"/>
      <c r="G159" s="3"/>
      <c r="H159" s="3"/>
      <c r="L159" t="s">
        <v>13</v>
      </c>
    </row>
    <row r="160" spans="1:12" x14ac:dyDescent="0.3">
      <c r="B160" s="4" t="s">
        <v>24</v>
      </c>
      <c r="C160" s="4" t="s">
        <v>25</v>
      </c>
      <c r="D160" t="s">
        <v>26</v>
      </c>
      <c r="E160" s="4" t="s">
        <v>27</v>
      </c>
      <c r="F160" s="4" t="s">
        <v>28</v>
      </c>
      <c r="G160" s="4" t="s">
        <v>29</v>
      </c>
      <c r="H160" s="4" t="s">
        <v>30</v>
      </c>
      <c r="K160" s="4" t="s">
        <v>41</v>
      </c>
      <c r="L160" s="13">
        <f>F166*(1/(1.12*L223))</f>
        <v>1.5758241278210745E-6</v>
      </c>
    </row>
    <row r="161" spans="2:9" x14ac:dyDescent="0.3">
      <c r="B161">
        <v>0</v>
      </c>
      <c r="C161" s="5">
        <v>0</v>
      </c>
      <c r="D161" s="8">
        <v>0</v>
      </c>
      <c r="E161" s="9">
        <v>0</v>
      </c>
      <c r="F161" s="10">
        <f>((1.5*D161)+(0.2*E161))/1.5</f>
        <v>0</v>
      </c>
      <c r="G161" s="10">
        <f>F161*1.5</f>
        <v>0</v>
      </c>
      <c r="H161" s="10">
        <v>0</v>
      </c>
    </row>
    <row r="162" spans="2:9" x14ac:dyDescent="0.3">
      <c r="B162">
        <f>C162*60</f>
        <v>900</v>
      </c>
      <c r="C162" s="5">
        <v>15</v>
      </c>
      <c r="D162" s="8">
        <f>H149</f>
        <v>1.7816629803704728E-2</v>
      </c>
      <c r="E162" s="9">
        <f>$D161+$E161</f>
        <v>0</v>
      </c>
      <c r="F162" s="10">
        <f t="shared" ref="F162:F165" si="55">((1.5*D162)+(0.2*E162))/1.5</f>
        <v>1.7816629803704728E-2</v>
      </c>
      <c r="G162" s="10">
        <f t="shared" ref="G162:G164" si="56">F162*1.5</f>
        <v>2.6724944705557092E-2</v>
      </c>
      <c r="H162" s="10">
        <f>(G162/39.27497512)*100</f>
        <v>6.8045732998944522E-2</v>
      </c>
    </row>
    <row r="163" spans="2:9" x14ac:dyDescent="0.3">
      <c r="B163">
        <f t="shared" ref="B163:B165" si="57">C163*60</f>
        <v>1800</v>
      </c>
      <c r="C163" s="5">
        <v>30</v>
      </c>
      <c r="D163" s="8">
        <f>H150</f>
        <v>6.3706340429453501E-2</v>
      </c>
      <c r="E163" s="9">
        <f t="shared" ref="E163:E165" si="58">$D162+$E162</f>
        <v>1.7816629803704728E-2</v>
      </c>
      <c r="F163" s="10">
        <f t="shared" si="55"/>
        <v>6.6081891069947468E-2</v>
      </c>
      <c r="G163" s="10">
        <f t="shared" si="56"/>
        <v>9.9122836604921202E-2</v>
      </c>
      <c r="H163" s="10">
        <f t="shared" ref="H163:H165" si="59">(G163/39.27497512)*100</f>
        <v>0.25238166619345576</v>
      </c>
    </row>
    <row r="164" spans="2:9" x14ac:dyDescent="0.3">
      <c r="B164">
        <f t="shared" si="57"/>
        <v>3600</v>
      </c>
      <c r="C164" s="5">
        <v>60</v>
      </c>
      <c r="D164" s="8">
        <f>H151</f>
        <v>0.14946709980646944</v>
      </c>
      <c r="E164" s="9">
        <f t="shared" si="58"/>
        <v>8.1522970233158229E-2</v>
      </c>
      <c r="F164" s="10">
        <f t="shared" si="55"/>
        <v>0.16033682917089054</v>
      </c>
      <c r="G164" s="10">
        <f t="shared" si="56"/>
        <v>0.24050524375633581</v>
      </c>
      <c r="H164" s="10">
        <f t="shared" si="59"/>
        <v>0.61236256171137149</v>
      </c>
    </row>
    <row r="165" spans="2:9" x14ac:dyDescent="0.3">
      <c r="B165">
        <f t="shared" si="57"/>
        <v>7200</v>
      </c>
      <c r="C165" s="5">
        <v>120</v>
      </c>
      <c r="D165" s="8">
        <f>H152</f>
        <v>0.21153257764261357</v>
      </c>
      <c r="E165" s="9">
        <f t="shared" si="58"/>
        <v>0.23099007003962768</v>
      </c>
      <c r="F165" s="10">
        <f t="shared" si="55"/>
        <v>0.24233125364789729</v>
      </c>
      <c r="G165" s="10">
        <f>F165*1.5</f>
        <v>0.36349688047184592</v>
      </c>
      <c r="H165" s="10">
        <f t="shared" si="59"/>
        <v>0.92551778673627305</v>
      </c>
    </row>
    <row r="166" spans="2:9" x14ac:dyDescent="0.3">
      <c r="E166" s="11" t="s">
        <v>31</v>
      </c>
      <c r="F166">
        <f>SLOPE(G161:G164,B161:B164)</f>
        <v>6.9317307818897542E-5</v>
      </c>
    </row>
    <row r="167" spans="2:9" ht="16.2" x14ac:dyDescent="0.35">
      <c r="B167" t="s">
        <v>32</v>
      </c>
    </row>
    <row r="168" spans="2:9" ht="16.2" x14ac:dyDescent="0.35">
      <c r="B168" t="s">
        <v>33</v>
      </c>
    </row>
    <row r="169" spans="2:9" ht="16.2" x14ac:dyDescent="0.35">
      <c r="B169" t="s">
        <v>34</v>
      </c>
    </row>
    <row r="170" spans="2:9" x14ac:dyDescent="0.3">
      <c r="B170" t="s">
        <v>35</v>
      </c>
    </row>
    <row r="171" spans="2:9" ht="16.2" x14ac:dyDescent="0.35">
      <c r="B171" t="s">
        <v>36</v>
      </c>
    </row>
    <row r="173" spans="2:9" s="12" customFormat="1" x14ac:dyDescent="0.3"/>
    <row r="174" spans="2:9" x14ac:dyDescent="0.3">
      <c r="C174" s="2"/>
      <c r="D174" s="2"/>
      <c r="E174" s="2"/>
      <c r="F174" s="2"/>
      <c r="G174" s="2"/>
      <c r="H174" s="2"/>
      <c r="I174" s="2"/>
    </row>
    <row r="175" spans="2:9" x14ac:dyDescent="0.3">
      <c r="C175" t="s">
        <v>6</v>
      </c>
      <c r="D175" t="s">
        <v>14</v>
      </c>
    </row>
    <row r="177" spans="3:11" x14ac:dyDescent="0.3">
      <c r="C177" t="s">
        <v>7</v>
      </c>
      <c r="D177" t="s">
        <v>1</v>
      </c>
      <c r="E177" t="s">
        <v>0</v>
      </c>
    </row>
    <row r="178" spans="3:11" x14ac:dyDescent="0.3">
      <c r="E178">
        <v>1</v>
      </c>
      <c r="F178">
        <v>2</v>
      </c>
      <c r="G178">
        <v>3</v>
      </c>
      <c r="H178" t="s">
        <v>2</v>
      </c>
      <c r="I178" t="s">
        <v>3</v>
      </c>
      <c r="J178" t="s">
        <v>4</v>
      </c>
      <c r="K178" t="s">
        <v>5</v>
      </c>
    </row>
    <row r="179" spans="3:11" x14ac:dyDescent="0.3">
      <c r="C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3:11" x14ac:dyDescent="0.3">
      <c r="C180">
        <v>15</v>
      </c>
      <c r="E180">
        <v>1.9990300000000001</v>
      </c>
      <c r="F180">
        <v>1.12662</v>
      </c>
      <c r="G180">
        <v>2.1763400000000002</v>
      </c>
      <c r="H180">
        <f>AVERAGE(E180:G180)</f>
        <v>1.7673300000000001</v>
      </c>
      <c r="I180">
        <f>STDEV(E180:G180)</f>
        <v>0.56190896691546044</v>
      </c>
      <c r="J180">
        <f>I180/H180</f>
        <v>0.31794230105043225</v>
      </c>
      <c r="K180">
        <f>J180*100</f>
        <v>31.794230105043226</v>
      </c>
    </row>
    <row r="181" spans="3:11" x14ac:dyDescent="0.3">
      <c r="C181">
        <v>30</v>
      </c>
      <c r="E181">
        <v>7.7971500000000002</v>
      </c>
      <c r="F181">
        <v>7.4265299999999996</v>
      </c>
      <c r="G181">
        <v>12.47897</v>
      </c>
      <c r="H181">
        <f t="shared" ref="H181:H182" si="60">AVERAGE(E181:G181)</f>
        <v>9.2342166666666667</v>
      </c>
      <c r="I181">
        <f t="shared" ref="I181:I182" si="61">STDEV(E181:G181)</f>
        <v>2.8161423866227668</v>
      </c>
      <c r="J181">
        <f t="shared" ref="J181:J183" si="62">I181/H181</f>
        <v>0.30496819473473841</v>
      </c>
      <c r="K181">
        <f t="shared" ref="K181:K183" si="63">J181*100</f>
        <v>30.496819473473842</v>
      </c>
    </row>
    <row r="182" spans="3:11" x14ac:dyDescent="0.3">
      <c r="C182">
        <v>60</v>
      </c>
      <c r="E182">
        <v>15.85299</v>
      </c>
      <c r="F182">
        <v>13.702070000000001</v>
      </c>
      <c r="G182">
        <v>22.607749999999999</v>
      </c>
      <c r="H182">
        <f t="shared" si="60"/>
        <v>17.387603333333335</v>
      </c>
      <c r="I182">
        <f t="shared" si="61"/>
        <v>4.646941211994549</v>
      </c>
      <c r="J182">
        <f t="shared" si="62"/>
        <v>0.2672559939923414</v>
      </c>
      <c r="K182">
        <f t="shared" si="63"/>
        <v>26.725599399234142</v>
      </c>
    </row>
    <row r="183" spans="3:11" x14ac:dyDescent="0.3">
      <c r="C183">
        <v>120</v>
      </c>
      <c r="E183">
        <v>28.756959999999999</v>
      </c>
      <c r="F183">
        <v>29.350200000000001</v>
      </c>
      <c r="G183">
        <v>38.577750000000002</v>
      </c>
      <c r="H183" t="e">
        <f>AVERAGE(#REF!)</f>
        <v>#REF!</v>
      </c>
      <c r="I183" t="e">
        <f>STDEV(#REF!)</f>
        <v>#REF!</v>
      </c>
      <c r="J183" t="e">
        <f t="shared" si="62"/>
        <v>#REF!</v>
      </c>
      <c r="K183" t="e">
        <f t="shared" si="63"/>
        <v>#REF!</v>
      </c>
    </row>
    <row r="185" spans="3:11" x14ac:dyDescent="0.3">
      <c r="C185">
        <v>15</v>
      </c>
      <c r="E185">
        <f>(E180-0.8712)/28.936</f>
        <v>3.8976707215924805E-2</v>
      </c>
      <c r="F185">
        <f t="shared" ref="F185:G185" si="64">(F180-0.8712)/28.936</f>
        <v>8.8270666298037037E-3</v>
      </c>
      <c r="G185">
        <f t="shared" si="64"/>
        <v>4.5104368260989777E-2</v>
      </c>
      <c r="H185">
        <f t="shared" ref="H185:H189" si="65">AVERAGE(E185:G185)</f>
        <v>3.0969380702239428E-2</v>
      </c>
      <c r="I185">
        <f t="shared" ref="I185:I187" si="66">STDEV(E185:G185)</f>
        <v>1.9419027056796399E-2</v>
      </c>
      <c r="J185">
        <f t="shared" ref="J185:J187" si="67">I185/H185</f>
        <v>0.62703956670958516</v>
      </c>
      <c r="K185">
        <f t="shared" ref="K185:K187" si="68">J185*100</f>
        <v>62.703956670958519</v>
      </c>
    </row>
    <row r="186" spans="3:11" x14ac:dyDescent="0.3">
      <c r="C186">
        <v>30</v>
      </c>
      <c r="E186">
        <f t="shared" ref="E186:G186" si="69">(E181-0.8712)/28.936</f>
        <v>0.23935409178877523</v>
      </c>
      <c r="F186">
        <f t="shared" si="69"/>
        <v>0.22654582526956041</v>
      </c>
      <c r="G186">
        <f t="shared" si="69"/>
        <v>0.40115323472491016</v>
      </c>
      <c r="H186">
        <f t="shared" si="65"/>
        <v>0.28901771726108194</v>
      </c>
      <c r="I186">
        <f t="shared" si="66"/>
        <v>9.7323140262052563E-2</v>
      </c>
      <c r="J186">
        <f t="shared" si="67"/>
        <v>0.33673762696747223</v>
      </c>
      <c r="K186">
        <f t="shared" si="68"/>
        <v>33.673762696747225</v>
      </c>
    </row>
    <row r="187" spans="3:11" x14ac:dyDescent="0.3">
      <c r="C187">
        <v>60</v>
      </c>
      <c r="E187">
        <f t="shared" ref="E187:G187" si="70">(E182-0.8712)/28.936</f>
        <v>0.51775608238871995</v>
      </c>
      <c r="F187">
        <f t="shared" si="70"/>
        <v>0.44342238042576726</v>
      </c>
      <c r="G187">
        <f t="shared" si="70"/>
        <v>0.7511940143765552</v>
      </c>
      <c r="H187">
        <f t="shared" si="65"/>
        <v>0.57079082573034745</v>
      </c>
      <c r="I187">
        <f t="shared" si="66"/>
        <v>0.16059376596608158</v>
      </c>
      <c r="J187">
        <f t="shared" si="67"/>
        <v>0.28135309596224861</v>
      </c>
      <c r="K187">
        <f t="shared" si="68"/>
        <v>28.135309596224861</v>
      </c>
    </row>
    <row r="188" spans="3:11" x14ac:dyDescent="0.3">
      <c r="C188">
        <v>120</v>
      </c>
      <c r="E188">
        <f t="shared" ref="E188:G188" si="71">(E183-0.8712)/28.936</f>
        <v>0.96370472767486859</v>
      </c>
      <c r="F188">
        <f t="shared" si="71"/>
        <v>0.98420652474426318</v>
      </c>
      <c r="G188">
        <f t="shared" si="71"/>
        <v>1.303101672656898</v>
      </c>
      <c r="H188">
        <f t="shared" si="65"/>
        <v>1.0836709750253433</v>
      </c>
      <c r="I188">
        <f>STDEV(E188:G188)</f>
        <v>0.19030883904346577</v>
      </c>
      <c r="J188">
        <f>I188/H188</f>
        <v>0.17561496379379832</v>
      </c>
      <c r="K188">
        <f>J188*100</f>
        <v>17.561496379379832</v>
      </c>
    </row>
    <row r="189" spans="3:11" x14ac:dyDescent="0.3">
      <c r="H189" t="e">
        <f t="shared" si="65"/>
        <v>#DIV/0!</v>
      </c>
      <c r="I189" t="e">
        <f t="shared" ref="I189" si="72">STDEV(E189:G189)</f>
        <v>#DIV/0!</v>
      </c>
      <c r="J189" t="e">
        <f t="shared" ref="J189" si="73">I189/H189</f>
        <v>#DIV/0!</v>
      </c>
      <c r="K189" t="e">
        <f t="shared" ref="K189" si="74">J189*100</f>
        <v>#DIV/0!</v>
      </c>
    </row>
    <row r="193" spans="2:13" x14ac:dyDescent="0.3">
      <c r="J193" s="26"/>
      <c r="K193" s="26"/>
    </row>
    <row r="194" spans="2:13" x14ac:dyDescent="0.3">
      <c r="B194" t="s">
        <v>43</v>
      </c>
      <c r="E194">
        <v>1</v>
      </c>
      <c r="F194">
        <v>2</v>
      </c>
      <c r="G194">
        <v>3</v>
      </c>
      <c r="H194" t="s">
        <v>2</v>
      </c>
      <c r="I194" t="s">
        <v>3</v>
      </c>
    </row>
    <row r="195" spans="2:13" x14ac:dyDescent="0.3">
      <c r="C195">
        <f>C179</f>
        <v>0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2:13" x14ac:dyDescent="0.3">
      <c r="C196">
        <f>C180</f>
        <v>15</v>
      </c>
      <c r="E196">
        <f>E185*4</f>
        <v>0.15590682886369922</v>
      </c>
      <c r="F196">
        <f t="shared" ref="F196:G196" si="75">F185*4</f>
        <v>3.5308266519214815E-2</v>
      </c>
      <c r="G196">
        <f t="shared" si="75"/>
        <v>0.18041747304395911</v>
      </c>
      <c r="H196">
        <f>AVERAGE(E196:G196)</f>
        <v>0.12387752280895771</v>
      </c>
      <c r="I196">
        <f>STDEV(E196:G196)</f>
        <v>7.7676108227185597E-2</v>
      </c>
    </row>
    <row r="197" spans="2:13" x14ac:dyDescent="0.3">
      <c r="C197">
        <f>C181</f>
        <v>30</v>
      </c>
      <c r="E197">
        <f t="shared" ref="E197:G197" si="76">E186*4</f>
        <v>0.95741636715510092</v>
      </c>
      <c r="F197">
        <f t="shared" si="76"/>
        <v>0.90618330107824163</v>
      </c>
      <c r="G197">
        <f t="shared" si="76"/>
        <v>1.6046129388996406</v>
      </c>
      <c r="H197">
        <f t="shared" ref="H197:H199" si="77">AVERAGE(E197:G197)</f>
        <v>1.1560708690443278</v>
      </c>
      <c r="I197">
        <f t="shared" ref="I197:I199" si="78">STDEV(E197:G197)</f>
        <v>0.38929256104821025</v>
      </c>
    </row>
    <row r="198" spans="2:13" x14ac:dyDescent="0.3">
      <c r="C198">
        <f>C182</f>
        <v>60</v>
      </c>
      <c r="E198">
        <f t="shared" ref="E198:G198" si="79">E187*4</f>
        <v>2.0710243295548798</v>
      </c>
      <c r="F198">
        <f t="shared" si="79"/>
        <v>1.773689521703069</v>
      </c>
      <c r="G198">
        <f t="shared" si="79"/>
        <v>3.0047760575062208</v>
      </c>
      <c r="H198">
        <f t="shared" si="77"/>
        <v>2.2831633029213898</v>
      </c>
      <c r="I198">
        <f t="shared" si="78"/>
        <v>0.6423750638643263</v>
      </c>
    </row>
    <row r="199" spans="2:13" x14ac:dyDescent="0.3">
      <c r="C199">
        <f>C183</f>
        <v>120</v>
      </c>
      <c r="E199">
        <f t="shared" ref="E199:G199" si="80">E188*4</f>
        <v>3.8548189106994744</v>
      </c>
      <c r="F199">
        <f t="shared" si="80"/>
        <v>3.9368260989770527</v>
      </c>
      <c r="G199">
        <f t="shared" si="80"/>
        <v>5.2124066906275921</v>
      </c>
      <c r="H199">
        <f t="shared" si="77"/>
        <v>4.3346839001013731</v>
      </c>
      <c r="I199">
        <f t="shared" si="78"/>
        <v>0.76123535617386306</v>
      </c>
    </row>
    <row r="203" spans="2:13" ht="16.2" x14ac:dyDescent="0.35">
      <c r="D203" s="4"/>
      <c r="E203" s="4" t="s">
        <v>18</v>
      </c>
      <c r="F203" s="4" t="s">
        <v>19</v>
      </c>
      <c r="H203" t="s">
        <v>20</v>
      </c>
    </row>
    <row r="204" spans="2:13" x14ac:dyDescent="0.3">
      <c r="D204" s="5"/>
      <c r="E204" s="5">
        <v>0.5</v>
      </c>
      <c r="F204" s="5">
        <v>0.1</v>
      </c>
      <c r="G204" s="3"/>
      <c r="H204" s="3">
        <v>10000</v>
      </c>
      <c r="I204" s="3"/>
      <c r="J204" s="3"/>
    </row>
    <row r="205" spans="2:13" x14ac:dyDescent="0.3">
      <c r="D205" s="4"/>
      <c r="E205" s="6" t="s">
        <v>21</v>
      </c>
      <c r="F205" s="6" t="s">
        <v>21</v>
      </c>
      <c r="G205" s="3"/>
      <c r="H205" s="7" t="s">
        <v>22</v>
      </c>
      <c r="I205" s="3"/>
      <c r="J205" s="3"/>
    </row>
    <row r="206" spans="2:13" x14ac:dyDescent="0.3">
      <c r="D206" s="3"/>
      <c r="E206" s="3"/>
      <c r="F206" s="4" t="s">
        <v>23</v>
      </c>
      <c r="G206" s="3"/>
      <c r="H206" s="3"/>
      <c r="I206" s="3"/>
      <c r="J206" s="3"/>
      <c r="M206" t="s">
        <v>14</v>
      </c>
    </row>
    <row r="207" spans="2:13" x14ac:dyDescent="0.3">
      <c r="D207" s="4" t="s">
        <v>24</v>
      </c>
      <c r="E207" s="4" t="s">
        <v>25</v>
      </c>
      <c r="F207" t="s">
        <v>26</v>
      </c>
      <c r="G207" s="4" t="s">
        <v>27</v>
      </c>
      <c r="H207" s="4" t="s">
        <v>28</v>
      </c>
      <c r="I207" s="4" t="s">
        <v>29</v>
      </c>
      <c r="J207" s="4" t="s">
        <v>30</v>
      </c>
      <c r="L207" s="4" t="s">
        <v>41</v>
      </c>
      <c r="M207" s="13">
        <f>H213*(1/(1.12*L229))</f>
        <v>7.7404366379467044E-6</v>
      </c>
    </row>
    <row r="208" spans="2:13" x14ac:dyDescent="0.3">
      <c r="D208">
        <v>0</v>
      </c>
      <c r="E208" s="5">
        <v>0</v>
      </c>
      <c r="F208" s="8">
        <v>0</v>
      </c>
      <c r="G208" s="9">
        <v>0</v>
      </c>
      <c r="H208" s="10">
        <f>((0.5*F208)+(0.1*G208))/0.5</f>
        <v>0</v>
      </c>
      <c r="I208" s="10">
        <f>H208*0.5</f>
        <v>0</v>
      </c>
      <c r="J208" s="10">
        <f>(I208/41.13680352)*100</f>
        <v>0</v>
      </c>
    </row>
    <row r="209" spans="3:12" x14ac:dyDescent="0.3">
      <c r="D209">
        <f>E209*60</f>
        <v>900</v>
      </c>
      <c r="E209" s="5">
        <v>15</v>
      </c>
      <c r="F209" s="8">
        <f>H196</f>
        <v>0.12387752280895771</v>
      </c>
      <c r="G209" s="9">
        <f>$F208+$G208</f>
        <v>0</v>
      </c>
      <c r="H209" s="10">
        <f t="shared" ref="H209:H212" si="81">((0.5*F209)+(0.1*G209))/0.5</f>
        <v>0.12387752280895771</v>
      </c>
      <c r="I209" s="10">
        <f t="shared" ref="I209:I212" si="82">H209*0.5</f>
        <v>6.1938761404478855E-2</v>
      </c>
      <c r="J209" s="10">
        <f t="shared" ref="J209:J212" si="83">(I209/41.13680352)*100</f>
        <v>0.15056775467341624</v>
      </c>
    </row>
    <row r="210" spans="3:12" x14ac:dyDescent="0.3">
      <c r="D210">
        <f t="shared" ref="D210:D212" si="84">E210*60</f>
        <v>1800</v>
      </c>
      <c r="E210" s="5">
        <v>30</v>
      </c>
      <c r="F210" s="8">
        <f t="shared" ref="F210:F212" si="85">H197</f>
        <v>1.1560708690443278</v>
      </c>
      <c r="G210" s="9">
        <f t="shared" ref="G210:G212" si="86">$F209+$G209</f>
        <v>0.12387752280895771</v>
      </c>
      <c r="H210" s="10">
        <f t="shared" si="81"/>
        <v>1.1808463736061192</v>
      </c>
      <c r="I210" s="10">
        <f t="shared" si="82"/>
        <v>0.59042318680305961</v>
      </c>
      <c r="J210" s="10">
        <f t="shared" si="83"/>
        <v>1.4352675372942043</v>
      </c>
    </row>
    <row r="211" spans="3:12" x14ac:dyDescent="0.3">
      <c r="D211">
        <f t="shared" si="84"/>
        <v>3600</v>
      </c>
      <c r="E211" s="5">
        <v>60</v>
      </c>
      <c r="F211" s="8">
        <f t="shared" si="85"/>
        <v>2.2831633029213898</v>
      </c>
      <c r="G211" s="9">
        <f t="shared" si="86"/>
        <v>1.2799483918532855</v>
      </c>
      <c r="H211" s="10">
        <f t="shared" si="81"/>
        <v>2.5391529812920468</v>
      </c>
      <c r="I211" s="10">
        <f t="shared" si="82"/>
        <v>1.2695764906460234</v>
      </c>
      <c r="J211" s="10">
        <f t="shared" si="83"/>
        <v>3.0862302901798806</v>
      </c>
    </row>
    <row r="212" spans="3:12" x14ac:dyDescent="0.3">
      <c r="D212">
        <f t="shared" si="84"/>
        <v>7200</v>
      </c>
      <c r="E212" s="5">
        <v>120</v>
      </c>
      <c r="F212" s="8">
        <f t="shared" si="85"/>
        <v>4.3346839001013731</v>
      </c>
      <c r="G212" s="9">
        <f t="shared" si="86"/>
        <v>3.5631116947746753</v>
      </c>
      <c r="H212" s="10">
        <f t="shared" si="81"/>
        <v>5.0473062390563079</v>
      </c>
      <c r="I212" s="10">
        <f t="shared" si="82"/>
        <v>2.523653119528154</v>
      </c>
      <c r="J212" s="10">
        <f t="shared" si="83"/>
        <v>6.1347817613033486</v>
      </c>
    </row>
    <row r="213" spans="3:12" x14ac:dyDescent="0.3">
      <c r="G213" s="11" t="s">
        <v>31</v>
      </c>
      <c r="H213">
        <f>SLOPE(I210:I212,D210:D212)</f>
        <v>3.5662683967390904E-4</v>
      </c>
    </row>
    <row r="214" spans="3:12" ht="16.2" x14ac:dyDescent="0.35">
      <c r="D214" t="s">
        <v>32</v>
      </c>
    </row>
    <row r="215" spans="3:12" ht="16.2" x14ac:dyDescent="0.35">
      <c r="D215" t="s">
        <v>33</v>
      </c>
    </row>
    <row r="216" spans="3:12" ht="16.2" x14ac:dyDescent="0.35">
      <c r="D216" t="s">
        <v>34</v>
      </c>
    </row>
    <row r="217" spans="3:12" x14ac:dyDescent="0.3">
      <c r="D217" t="s">
        <v>35</v>
      </c>
    </row>
    <row r="218" spans="3:12" ht="16.2" x14ac:dyDescent="0.35">
      <c r="D218" t="s">
        <v>36</v>
      </c>
    </row>
    <row r="220" spans="3:12" s="12" customFormat="1" x14ac:dyDescent="0.3"/>
    <row r="222" spans="3:12" x14ac:dyDescent="0.3">
      <c r="C222" t="s">
        <v>10</v>
      </c>
      <c r="H222" t="s">
        <v>2</v>
      </c>
      <c r="I222" t="s">
        <v>3</v>
      </c>
      <c r="K222" t="s">
        <v>37</v>
      </c>
      <c r="L222" t="s">
        <v>40</v>
      </c>
    </row>
    <row r="223" spans="3:12" x14ac:dyDescent="0.3">
      <c r="C223">
        <v>0</v>
      </c>
      <c r="E223">
        <v>281.80169999999998</v>
      </c>
      <c r="F223">
        <v>290.96951000000001</v>
      </c>
      <c r="G223">
        <v>282.18790000000001</v>
      </c>
      <c r="H223">
        <f t="shared" ref="H223:H224" si="87">AVERAGE(E223:G223)</f>
        <v>284.98637000000002</v>
      </c>
      <c r="I223">
        <f t="shared" ref="I223:I224" si="88">STDEV(E223:G223)</f>
        <v>5.1851480986274732</v>
      </c>
      <c r="K223">
        <f>(H223-0.8712)/28.936</f>
        <v>9.8187437793751737</v>
      </c>
      <c r="L223">
        <f>K223*4</f>
        <v>39.274975117500695</v>
      </c>
    </row>
    <row r="224" spans="3:12" x14ac:dyDescent="0.3">
      <c r="C224">
        <v>120</v>
      </c>
      <c r="E224">
        <v>257.01211999999998</v>
      </c>
      <c r="F224">
        <v>265.92815999999999</v>
      </c>
      <c r="G224">
        <v>250.69426999999999</v>
      </c>
      <c r="H224">
        <f t="shared" si="87"/>
        <v>257.87818333333331</v>
      </c>
      <c r="I224">
        <f t="shared" si="88"/>
        <v>7.6537834046981867</v>
      </c>
      <c r="K224">
        <f t="shared" ref="K224:K230" si="89">(H224-0.8712)/28.936</f>
        <v>8.8819112293797797</v>
      </c>
      <c r="L224">
        <f>K224*4</f>
        <v>35.527644917519119</v>
      </c>
    </row>
    <row r="228" spans="3:12" x14ac:dyDescent="0.3">
      <c r="C228" t="s">
        <v>11</v>
      </c>
    </row>
    <row r="229" spans="3:12" x14ac:dyDescent="0.3">
      <c r="C229">
        <v>0</v>
      </c>
      <c r="E229">
        <v>585.83838000000003</v>
      </c>
      <c r="F229">
        <v>590.15033000000005</v>
      </c>
      <c r="G229">
        <v>612.12671</v>
      </c>
      <c r="H229">
        <f t="shared" ref="H229:H230" si="90">AVERAGE(E229:G229)</f>
        <v>596.0384733333334</v>
      </c>
      <c r="I229">
        <f t="shared" ref="I229:I230" si="91">STDEV(E229:G229)</f>
        <v>14.098643462497828</v>
      </c>
      <c r="K229">
        <f t="shared" si="89"/>
        <v>20.568401760206434</v>
      </c>
      <c r="L229">
        <f>K229*2</f>
        <v>41.136803520412869</v>
      </c>
    </row>
    <row r="230" spans="3:12" x14ac:dyDescent="0.3">
      <c r="C230">
        <v>120</v>
      </c>
      <c r="E230">
        <v>546.91187000000002</v>
      </c>
      <c r="F230">
        <v>570.99603000000002</v>
      </c>
      <c r="G230">
        <v>559.89594</v>
      </c>
      <c r="H230">
        <f t="shared" si="90"/>
        <v>559.26794666666672</v>
      </c>
      <c r="I230">
        <f t="shared" si="91"/>
        <v>12.054354916229789</v>
      </c>
      <c r="K230">
        <f t="shared" si="89"/>
        <v>19.297648143028294</v>
      </c>
      <c r="L230">
        <f>K230*2</f>
        <v>38.595296286056588</v>
      </c>
    </row>
    <row r="232" spans="3:12" x14ac:dyDescent="0.3">
      <c r="F232" s="1"/>
    </row>
    <row r="233" spans="3:12" x14ac:dyDescent="0.3">
      <c r="H233" t="s">
        <v>2</v>
      </c>
    </row>
    <row r="234" spans="3:12" x14ac:dyDescent="0.3">
      <c r="C234" t="s">
        <v>16</v>
      </c>
      <c r="D234" t="s">
        <v>17</v>
      </c>
      <c r="E234">
        <v>1466.0770299999999</v>
      </c>
      <c r="F234">
        <v>1466.2429199999999</v>
      </c>
      <c r="G234">
        <v>1464.87842</v>
      </c>
      <c r="H234">
        <f>AVERAGE(E234:G234)</f>
        <v>1465.73279</v>
      </c>
    </row>
    <row r="235" spans="3:12" x14ac:dyDescent="0.3">
      <c r="D235" t="s">
        <v>38</v>
      </c>
      <c r="E235">
        <f>(E234-0.8712)/28.936</f>
        <v>50.636087572573949</v>
      </c>
      <c r="F235">
        <f t="shared" ref="F235:G235" si="92">(F234-0.8712)/28.936</f>
        <v>50.641820569532754</v>
      </c>
      <c r="G235">
        <f t="shared" si="92"/>
        <v>50.594664777439867</v>
      </c>
      <c r="H235">
        <f t="shared" ref="H235:H236" si="93">AVERAGE(E235:G235)</f>
        <v>50.624190973182188</v>
      </c>
    </row>
    <row r="236" spans="3:12" x14ac:dyDescent="0.3">
      <c r="D236" t="s">
        <v>39</v>
      </c>
      <c r="E236">
        <f>E235/4</f>
        <v>12.659021893143487</v>
      </c>
      <c r="F236">
        <f t="shared" ref="F236:G236" si="94">F235/4</f>
        <v>12.660455142383189</v>
      </c>
      <c r="G236">
        <f t="shared" si="94"/>
        <v>12.648666194359967</v>
      </c>
      <c r="H236">
        <f t="shared" si="93"/>
        <v>12.656047743295547</v>
      </c>
    </row>
  </sheetData>
  <mergeCells count="4">
    <mergeCell ref="J16:K16"/>
    <mergeCell ref="J69:K69"/>
    <mergeCell ref="J140:K140"/>
    <mergeCell ref="J193:K19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48"/>
  <sheetViews>
    <sheetView topLeftCell="B120" zoomScale="65" zoomScaleNormal="65" zoomScalePageLayoutView="65" workbookViewId="0">
      <selection activeCell="X195" sqref="X195:Z195"/>
    </sheetView>
  </sheetViews>
  <sheetFormatPr defaultColWidth="11" defaultRowHeight="15.6" x14ac:dyDescent="0.3"/>
  <cols>
    <col min="6" max="6" width="14.19921875" bestFit="1" customWidth="1"/>
    <col min="11" max="13" width="14.19921875" bestFit="1" customWidth="1"/>
    <col min="15" max="15" width="12.5" bestFit="1" customWidth="1"/>
    <col min="22" max="26" width="12.5" bestFit="1" customWidth="1"/>
  </cols>
  <sheetData>
    <row r="3" spans="2:26" x14ac:dyDescent="0.3">
      <c r="C3" t="s">
        <v>6</v>
      </c>
      <c r="D3" t="s">
        <v>13</v>
      </c>
    </row>
    <row r="5" spans="2:26" x14ac:dyDescent="0.3">
      <c r="C5" t="s">
        <v>7</v>
      </c>
      <c r="D5" t="s">
        <v>1</v>
      </c>
      <c r="E5" t="s">
        <v>0</v>
      </c>
    </row>
    <row r="6" spans="2:26" x14ac:dyDescent="0.3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</row>
    <row r="7" spans="2:26" x14ac:dyDescent="0.3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2:26" x14ac:dyDescent="0.3">
      <c r="C8">
        <v>15</v>
      </c>
      <c r="E8" s="18">
        <v>1.0452300000000001</v>
      </c>
      <c r="F8" s="18">
        <v>0.353516</v>
      </c>
      <c r="G8" s="18">
        <v>0.51549999999999996</v>
      </c>
      <c r="H8">
        <f>AVERAGE(E8:G8)</f>
        <v>0.63808199999999993</v>
      </c>
      <c r="I8">
        <f>STDEV(E8:G8)</f>
        <v>0.3617828416218769</v>
      </c>
      <c r="J8">
        <f>I8/H8</f>
        <v>0.56698487282492993</v>
      </c>
      <c r="K8">
        <f>J8*100</f>
        <v>56.698487282492991</v>
      </c>
    </row>
    <row r="9" spans="2:26" x14ac:dyDescent="0.3">
      <c r="C9">
        <v>30</v>
      </c>
      <c r="E9" s="18">
        <v>1.90394</v>
      </c>
      <c r="F9" s="18">
        <v>0.814334</v>
      </c>
      <c r="G9" s="18">
        <v>1.6931499999999999</v>
      </c>
      <c r="H9">
        <f t="shared" ref="H9:H11" si="0">AVERAGE(E9:G9)</f>
        <v>1.4704746666666668</v>
      </c>
      <c r="I9">
        <f t="shared" ref="I9:I11" si="1">STDEV(E9:G9)</f>
        <v>0.57792606522403267</v>
      </c>
      <c r="J9">
        <f t="shared" ref="J9:J11" si="2">I9/H9</f>
        <v>0.39302007598274341</v>
      </c>
      <c r="K9">
        <f t="shared" ref="K9:K11" si="3">J9*100</f>
        <v>39.302007598274344</v>
      </c>
    </row>
    <row r="10" spans="2:26" x14ac:dyDescent="0.3">
      <c r="C10">
        <v>60</v>
      </c>
      <c r="E10" s="18">
        <v>3.8934700000000002</v>
      </c>
      <c r="F10" s="18">
        <v>1.8209500000000001</v>
      </c>
      <c r="G10" s="18">
        <v>2.7238699999999998</v>
      </c>
      <c r="H10">
        <f t="shared" si="0"/>
        <v>2.8127633333333333</v>
      </c>
      <c r="I10">
        <f t="shared" si="1"/>
        <v>1.0391156365551109</v>
      </c>
      <c r="J10">
        <f t="shared" si="2"/>
        <v>0.36942874796497072</v>
      </c>
      <c r="K10">
        <f t="shared" si="3"/>
        <v>36.942874796497073</v>
      </c>
    </row>
    <row r="11" spans="2:26" x14ac:dyDescent="0.3">
      <c r="C11">
        <v>90</v>
      </c>
      <c r="E11" s="18">
        <v>5.05572</v>
      </c>
      <c r="F11" s="18">
        <v>2.9572600000000002</v>
      </c>
      <c r="G11" s="18">
        <v>4.3921700000000001</v>
      </c>
      <c r="H11">
        <f t="shared" si="0"/>
        <v>4.1350500000000006</v>
      </c>
      <c r="I11">
        <f t="shared" si="1"/>
        <v>1.0725980671714828</v>
      </c>
      <c r="J11">
        <f t="shared" si="2"/>
        <v>0.25939180110796306</v>
      </c>
      <c r="K11">
        <f t="shared" si="3"/>
        <v>25.939180110796308</v>
      </c>
    </row>
    <row r="12" spans="2:26" x14ac:dyDescent="0.3">
      <c r="C12">
        <v>120</v>
      </c>
      <c r="E12" s="18">
        <v>5.6594899999999999</v>
      </c>
      <c r="F12" s="18">
        <v>4.0690999999999997</v>
      </c>
      <c r="G12" s="18">
        <v>5.48163</v>
      </c>
      <c r="H12">
        <f t="shared" ref="H12" si="4">AVERAGE(E12:G12)</f>
        <v>5.0700733333333332</v>
      </c>
      <c r="I12">
        <f t="shared" ref="I12" si="5">STDEV(E12:G12)</f>
        <v>0.87141795679990863</v>
      </c>
      <c r="J12">
        <f t="shared" ref="J12" si="6">I12/H12</f>
        <v>0.17187482300714427</v>
      </c>
      <c r="K12">
        <f t="shared" ref="K12" si="7">J12*100</f>
        <v>17.187482300714425</v>
      </c>
      <c r="V12" s="26" t="s">
        <v>13</v>
      </c>
      <c r="W12" s="26"/>
      <c r="X12" s="26"/>
      <c r="Y12" s="26"/>
      <c r="Z12" s="26"/>
    </row>
    <row r="13" spans="2:26" x14ac:dyDescent="0.3">
      <c r="V13">
        <v>1</v>
      </c>
      <c r="W13">
        <v>2</v>
      </c>
      <c r="X13">
        <v>3</v>
      </c>
      <c r="Y13" t="s">
        <v>2</v>
      </c>
      <c r="Z13" t="s">
        <v>3</v>
      </c>
    </row>
    <row r="14" spans="2:26" x14ac:dyDescent="0.3">
      <c r="B14" t="s">
        <v>44</v>
      </c>
      <c r="U14" s="4" t="s">
        <v>41</v>
      </c>
      <c r="V14">
        <f>F44*(1/(1.12*L103))</f>
        <v>5.6375280942624501E-6</v>
      </c>
      <c r="W14">
        <f>O44*(1/(1.12*L103))</f>
        <v>4.2359518655464277E-6</v>
      </c>
      <c r="X14">
        <f>X44*(1/(1.12*L103))</f>
        <v>5.4616689516954516E-6</v>
      </c>
      <c r="Y14" s="13">
        <f>AVERAGE(V14:X14)</f>
        <v>5.1117163038347773E-6</v>
      </c>
      <c r="Z14">
        <f>STDEV(V14:X14)</f>
        <v>7.6351432405291537E-7</v>
      </c>
    </row>
    <row r="16" spans="2:26" x14ac:dyDescent="0.3">
      <c r="J16" s="26"/>
      <c r="K16" s="26"/>
    </row>
    <row r="17" spans="1:23" x14ac:dyDescent="0.3">
      <c r="C17" t="s">
        <v>7</v>
      </c>
      <c r="E17">
        <v>1</v>
      </c>
      <c r="F17">
        <v>2</v>
      </c>
      <c r="G17">
        <v>3</v>
      </c>
      <c r="H17" t="s">
        <v>2</v>
      </c>
      <c r="I17" t="s">
        <v>3</v>
      </c>
    </row>
    <row r="18" spans="1:23" x14ac:dyDescent="0.3">
      <c r="C18">
        <f t="shared" ref="C18:C23" si="8">C7</f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23" x14ac:dyDescent="0.3">
      <c r="C19">
        <f t="shared" si="8"/>
        <v>15</v>
      </c>
      <c r="E19">
        <f>(E8+1.8971)/26.07</f>
        <v>0.11286267740698121</v>
      </c>
      <c r="F19">
        <f t="shared" ref="F19:G19" si="9">(F8+1.8971)/26.07</f>
        <v>8.6329727656309932E-2</v>
      </c>
      <c r="G19">
        <f t="shared" si="9"/>
        <v>9.2543153049482157E-2</v>
      </c>
      <c r="H19">
        <f>AVERAGE(E19:G19)</f>
        <v>9.7245186037591094E-2</v>
      </c>
      <c r="I19">
        <f>STDEV(E19:G19)</f>
        <v>1.3877362547828001E-2</v>
      </c>
      <c r="V19" s="26" t="s">
        <v>29</v>
      </c>
      <c r="W19" s="26"/>
    </row>
    <row r="20" spans="1:23" x14ac:dyDescent="0.3">
      <c r="C20">
        <f t="shared" si="8"/>
        <v>30</v>
      </c>
      <c r="E20">
        <f t="shared" ref="E20:G23" si="10">(E9+1.8971)/26.07</f>
        <v>0.145801304181051</v>
      </c>
      <c r="F20">
        <f t="shared" si="10"/>
        <v>0.10400590717299578</v>
      </c>
      <c r="G20">
        <f t="shared" si="10"/>
        <v>0.13771576524741083</v>
      </c>
      <c r="H20">
        <f t="shared" ref="H20:H29" si="11">AVERAGE(E20:G20)</f>
        <v>0.12917432553381922</v>
      </c>
      <c r="I20">
        <f t="shared" ref="I20:I29" si="12">STDEV(E20:G20)</f>
        <v>2.2168241857461878E-2</v>
      </c>
      <c r="U20" s="4" t="s">
        <v>24</v>
      </c>
      <c r="V20" t="s">
        <v>45</v>
      </c>
      <c r="W20" t="s">
        <v>3</v>
      </c>
    </row>
    <row r="21" spans="1:23" x14ac:dyDescent="0.3">
      <c r="C21">
        <f t="shared" si="8"/>
        <v>60</v>
      </c>
      <c r="E21">
        <f t="shared" si="10"/>
        <v>0.22211622554660532</v>
      </c>
      <c r="F21">
        <f t="shared" si="10"/>
        <v>0.14261795166858457</v>
      </c>
      <c r="G21">
        <f t="shared" si="10"/>
        <v>0.17725239739163789</v>
      </c>
      <c r="H21">
        <f t="shared" si="11"/>
        <v>0.18066219153560925</v>
      </c>
      <c r="I21">
        <f t="shared" si="12"/>
        <v>3.985867420617998E-2</v>
      </c>
      <c r="U21">
        <v>0</v>
      </c>
      <c r="V21" s="21">
        <f>AVERAGE(G38,P38,Y38)</f>
        <v>0</v>
      </c>
      <c r="W21" s="21">
        <f>STDEV(G38,P38,Y38)</f>
        <v>0</v>
      </c>
    </row>
    <row r="22" spans="1:23" x14ac:dyDescent="0.3">
      <c r="C22">
        <f t="shared" si="8"/>
        <v>90</v>
      </c>
      <c r="E22">
        <f t="shared" si="10"/>
        <v>0.26669812044495589</v>
      </c>
      <c r="F22">
        <f t="shared" si="10"/>
        <v>0.18620483314154199</v>
      </c>
      <c r="G22">
        <f t="shared" si="10"/>
        <v>0.24124549290372074</v>
      </c>
      <c r="H22">
        <f t="shared" si="11"/>
        <v>0.23138281549673956</v>
      </c>
      <c r="I22">
        <f t="shared" si="12"/>
        <v>4.1143002192998865E-2</v>
      </c>
      <c r="U22">
        <v>15</v>
      </c>
      <c r="V22" s="21">
        <f t="shared" ref="V22:V26" si="13">AVERAGE(G39,P39,Y39)</f>
        <v>0.29173555811277335</v>
      </c>
      <c r="W22" s="21">
        <f t="shared" ref="W22:W26" si="14">STDEV(G39,P39,Y39)</f>
        <v>4.1632087643483688E-2</v>
      </c>
    </row>
    <row r="23" spans="1:23" x14ac:dyDescent="0.3">
      <c r="C23">
        <f t="shared" si="8"/>
        <v>120</v>
      </c>
      <c r="E23">
        <f t="shared" si="10"/>
        <v>0.28985769083237439</v>
      </c>
      <c r="F23">
        <f t="shared" si="10"/>
        <v>0.2288530878404296</v>
      </c>
      <c r="G23">
        <f t="shared" si="10"/>
        <v>0.28303528960490987</v>
      </c>
      <c r="H23">
        <f t="shared" ref="H23" si="15">AVERAGE(E23:G23)</f>
        <v>0.26724868942590463</v>
      </c>
      <c r="I23">
        <f t="shared" ref="I23" si="16">STDEV(E23:G23)</f>
        <v>3.3426081963939529E-2</v>
      </c>
      <c r="U23">
        <v>30</v>
      </c>
      <c r="V23" s="21">
        <f t="shared" si="13"/>
        <v>0.42642105101649408</v>
      </c>
      <c r="W23" s="21">
        <f t="shared" si="14"/>
        <v>7.1040641740482136E-2</v>
      </c>
    </row>
    <row r="24" spans="1:23" x14ac:dyDescent="0.3">
      <c r="U24">
        <v>60</v>
      </c>
      <c r="V24" s="21">
        <f t="shared" si="13"/>
        <v>0.63255437923539193</v>
      </c>
      <c r="W24" s="21">
        <f t="shared" si="14"/>
        <v>0.13312614749969978</v>
      </c>
    </row>
    <row r="25" spans="1:23" x14ac:dyDescent="0.3">
      <c r="A25" t="s">
        <v>42</v>
      </c>
      <c r="C25">
        <f t="shared" ref="C25:C30" si="17">C18</f>
        <v>0</v>
      </c>
      <c r="E25">
        <v>0</v>
      </c>
      <c r="F25">
        <v>0</v>
      </c>
      <c r="G25">
        <v>0</v>
      </c>
      <c r="H25">
        <f t="shared" si="11"/>
        <v>0</v>
      </c>
      <c r="I25">
        <f t="shared" si="12"/>
        <v>0</v>
      </c>
      <c r="U25">
        <v>90</v>
      </c>
      <c r="V25" s="21">
        <f t="shared" si="13"/>
        <v>0.85698112773302648</v>
      </c>
      <c r="W25" s="21">
        <f t="shared" si="14"/>
        <v>0.15249887680247542</v>
      </c>
    </row>
    <row r="26" spans="1:23" x14ac:dyDescent="0.3">
      <c r="C26">
        <f t="shared" si="17"/>
        <v>15</v>
      </c>
      <c r="E26">
        <f t="shared" ref="E26:G30" si="18">E19*2</f>
        <v>0.22572535481396241</v>
      </c>
      <c r="F26">
        <f t="shared" si="18"/>
        <v>0.17265945531261986</v>
      </c>
      <c r="G26">
        <f t="shared" si="18"/>
        <v>0.18508630609896431</v>
      </c>
      <c r="H26">
        <f t="shared" si="11"/>
        <v>0.19449037207518219</v>
      </c>
      <c r="I26">
        <f t="shared" si="12"/>
        <v>2.7754725095656001E-2</v>
      </c>
      <c r="U26">
        <v>120</v>
      </c>
      <c r="V26" s="21">
        <f t="shared" si="13"/>
        <v>1.0571318757192174</v>
      </c>
      <c r="W26" s="21">
        <f t="shared" si="14"/>
        <v>0.14423328757807563</v>
      </c>
    </row>
    <row r="27" spans="1:23" x14ac:dyDescent="0.3">
      <c r="C27">
        <f t="shared" si="17"/>
        <v>30</v>
      </c>
      <c r="E27">
        <f t="shared" si="18"/>
        <v>0.291602608362102</v>
      </c>
      <c r="F27">
        <f t="shared" si="18"/>
        <v>0.20801181434599156</v>
      </c>
      <c r="G27">
        <f t="shared" si="18"/>
        <v>0.27543153049482166</v>
      </c>
      <c r="H27">
        <f t="shared" si="11"/>
        <v>0.25834865106763844</v>
      </c>
      <c r="I27">
        <f t="shared" si="12"/>
        <v>4.4336483714923755E-2</v>
      </c>
      <c r="V27" t="s">
        <v>46</v>
      </c>
      <c r="W27" s="25">
        <f>AVERAGE(F44,O44,X44)</f>
        <v>1.2064621218185074E-4</v>
      </c>
    </row>
    <row r="28" spans="1:23" x14ac:dyDescent="0.3">
      <c r="C28">
        <f t="shared" si="17"/>
        <v>60</v>
      </c>
      <c r="E28">
        <f t="shared" si="18"/>
        <v>0.44423245109321063</v>
      </c>
      <c r="F28">
        <f t="shared" si="18"/>
        <v>0.28523590333716914</v>
      </c>
      <c r="G28">
        <f t="shared" si="18"/>
        <v>0.35450479478327579</v>
      </c>
      <c r="H28">
        <f t="shared" si="11"/>
        <v>0.3613243830712185</v>
      </c>
      <c r="I28">
        <f t="shared" si="12"/>
        <v>7.9717348412359959E-2</v>
      </c>
    </row>
    <row r="29" spans="1:23" x14ac:dyDescent="0.3">
      <c r="C29">
        <f t="shared" si="17"/>
        <v>90</v>
      </c>
      <c r="E29">
        <f t="shared" si="18"/>
        <v>0.53339624088991178</v>
      </c>
      <c r="F29">
        <f t="shared" si="18"/>
        <v>0.37240966628308397</v>
      </c>
      <c r="G29">
        <f t="shared" si="18"/>
        <v>0.48249098580744149</v>
      </c>
      <c r="H29">
        <f t="shared" si="11"/>
        <v>0.46276563099347912</v>
      </c>
      <c r="I29">
        <f t="shared" si="12"/>
        <v>8.228600438599773E-2</v>
      </c>
    </row>
    <row r="30" spans="1:23" x14ac:dyDescent="0.3">
      <c r="C30">
        <f t="shared" si="17"/>
        <v>120</v>
      </c>
      <c r="E30">
        <f t="shared" si="18"/>
        <v>0.57971538166474879</v>
      </c>
      <c r="F30">
        <f t="shared" si="18"/>
        <v>0.4577061756808592</v>
      </c>
      <c r="G30">
        <f t="shared" si="18"/>
        <v>0.56607057920981974</v>
      </c>
      <c r="H30">
        <f t="shared" ref="H30" si="19">AVERAGE(E30:G30)</f>
        <v>0.53449737885180926</v>
      </c>
      <c r="I30">
        <f t="shared" ref="I30" si="20">STDEV(E30:G30)</f>
        <v>6.6852163927879057E-2</v>
      </c>
    </row>
    <row r="33" spans="2:26" ht="16.2" x14ac:dyDescent="0.35">
      <c r="B33" s="4"/>
      <c r="C33" s="4" t="s">
        <v>18</v>
      </c>
      <c r="D33" s="4" t="s">
        <v>19</v>
      </c>
      <c r="K33" s="4"/>
      <c r="L33" s="4" t="s">
        <v>18</v>
      </c>
      <c r="M33" s="4" t="s">
        <v>19</v>
      </c>
      <c r="T33" s="4"/>
      <c r="U33" s="4" t="s">
        <v>18</v>
      </c>
      <c r="V33" s="4" t="s">
        <v>19</v>
      </c>
    </row>
    <row r="34" spans="2:26" x14ac:dyDescent="0.3">
      <c r="B34" s="5"/>
      <c r="C34" s="5">
        <v>1.5</v>
      </c>
      <c r="D34" s="5">
        <v>0.2</v>
      </c>
      <c r="E34" s="17"/>
      <c r="F34" s="17"/>
      <c r="G34" s="17"/>
      <c r="H34" s="17"/>
      <c r="K34" s="5"/>
      <c r="L34" s="5">
        <v>1.5</v>
      </c>
      <c r="M34" s="5">
        <v>0.2</v>
      </c>
      <c r="N34" s="20"/>
      <c r="O34" s="20"/>
      <c r="P34" s="20"/>
      <c r="Q34" s="20"/>
      <c r="T34" s="5"/>
      <c r="U34" s="5">
        <v>1.5</v>
      </c>
      <c r="V34" s="5">
        <v>0.2</v>
      </c>
      <c r="W34" s="20"/>
      <c r="X34" s="20"/>
      <c r="Y34" s="20"/>
      <c r="Z34" s="20"/>
    </row>
    <row r="35" spans="2:26" x14ac:dyDescent="0.3">
      <c r="B35" s="4"/>
      <c r="C35" s="6" t="s">
        <v>21</v>
      </c>
      <c r="D35" s="6" t="s">
        <v>21</v>
      </c>
      <c r="E35" s="17"/>
      <c r="F35" s="7"/>
      <c r="G35" s="17"/>
      <c r="H35" s="17"/>
      <c r="K35" s="4"/>
      <c r="L35" s="6" t="s">
        <v>21</v>
      </c>
      <c r="M35" s="6" t="s">
        <v>21</v>
      </c>
      <c r="N35" s="20"/>
      <c r="O35" s="7"/>
      <c r="P35" s="20"/>
      <c r="Q35" s="20"/>
      <c r="T35" s="4"/>
      <c r="U35" s="6" t="s">
        <v>21</v>
      </c>
      <c r="V35" s="6" t="s">
        <v>21</v>
      </c>
      <c r="W35" s="20"/>
      <c r="X35" s="7"/>
      <c r="Y35" s="20"/>
      <c r="Z35" s="20"/>
    </row>
    <row r="36" spans="2:26" x14ac:dyDescent="0.3">
      <c r="B36" s="17"/>
      <c r="C36" s="17"/>
      <c r="D36" s="4" t="s">
        <v>23</v>
      </c>
      <c r="E36" s="17"/>
      <c r="F36" s="17"/>
      <c r="G36" s="17"/>
      <c r="H36" s="17"/>
      <c r="K36" s="20"/>
      <c r="L36" s="20"/>
      <c r="M36" s="4" t="s">
        <v>23</v>
      </c>
      <c r="N36" s="20"/>
      <c r="O36" s="20"/>
      <c r="P36" s="20"/>
      <c r="Q36" s="20"/>
      <c r="T36" s="20"/>
      <c r="U36" s="20"/>
      <c r="V36" s="4" t="s">
        <v>23</v>
      </c>
      <c r="W36" s="20"/>
      <c r="X36" s="20"/>
      <c r="Y36" s="20"/>
      <c r="Z36" s="20"/>
    </row>
    <row r="37" spans="2:26" x14ac:dyDescent="0.3">
      <c r="B37" s="4" t="s">
        <v>24</v>
      </c>
      <c r="C37" s="4" t="s">
        <v>25</v>
      </c>
      <c r="D37" t="s">
        <v>26</v>
      </c>
      <c r="E37" s="4" t="s">
        <v>27</v>
      </c>
      <c r="F37" s="4" t="s">
        <v>28</v>
      </c>
      <c r="G37" s="4" t="s">
        <v>29</v>
      </c>
      <c r="H37" s="4" t="s">
        <v>30</v>
      </c>
      <c r="K37" s="4" t="s">
        <v>24</v>
      </c>
      <c r="L37" s="4" t="s">
        <v>25</v>
      </c>
      <c r="M37" t="s">
        <v>26</v>
      </c>
      <c r="N37" s="4" t="s">
        <v>27</v>
      </c>
      <c r="O37" s="4" t="s">
        <v>28</v>
      </c>
      <c r="P37" s="4" t="s">
        <v>29</v>
      </c>
      <c r="Q37" s="4" t="s">
        <v>30</v>
      </c>
      <c r="T37" s="4" t="s">
        <v>24</v>
      </c>
      <c r="U37" s="4" t="s">
        <v>25</v>
      </c>
      <c r="V37" t="s">
        <v>26</v>
      </c>
      <c r="W37" s="4" t="s">
        <v>27</v>
      </c>
      <c r="X37" s="4" t="s">
        <v>28</v>
      </c>
      <c r="Y37" s="4" t="s">
        <v>29</v>
      </c>
      <c r="Z37" s="4" t="s">
        <v>30</v>
      </c>
    </row>
    <row r="38" spans="2:26" x14ac:dyDescent="0.3">
      <c r="B38">
        <v>0</v>
      </c>
      <c r="C38" s="5">
        <v>0</v>
      </c>
      <c r="D38" s="8">
        <v>0</v>
      </c>
      <c r="E38" s="9">
        <v>0</v>
      </c>
      <c r="F38" s="10">
        <f>((1.5*D38)+(0.2*E38))/1.5</f>
        <v>0</v>
      </c>
      <c r="G38" s="10">
        <f>F38*1.5</f>
        <v>0</v>
      </c>
      <c r="H38" s="10">
        <v>0</v>
      </c>
      <c r="K38">
        <v>0</v>
      </c>
      <c r="L38" s="5">
        <v>0</v>
      </c>
      <c r="M38" s="8">
        <v>0</v>
      </c>
      <c r="N38" s="9">
        <v>0</v>
      </c>
      <c r="O38" s="10">
        <f>((1.5*M38)+(0.2*N38))/1.5</f>
        <v>0</v>
      </c>
      <c r="P38" s="10">
        <f>O38*1.5</f>
        <v>0</v>
      </c>
      <c r="Q38" s="10">
        <v>0</v>
      </c>
      <c r="T38">
        <v>0</v>
      </c>
      <c r="U38" s="5">
        <v>0</v>
      </c>
      <c r="V38" s="8">
        <v>0</v>
      </c>
      <c r="W38" s="9">
        <v>0</v>
      </c>
      <c r="X38" s="10">
        <f>((1.5*V38)+(0.2*W38))/1.5</f>
        <v>0</v>
      </c>
      <c r="Y38" s="10">
        <f>X38*1.5</f>
        <v>0</v>
      </c>
      <c r="Z38" s="10">
        <v>0</v>
      </c>
    </row>
    <row r="39" spans="2:26" x14ac:dyDescent="0.3">
      <c r="B39">
        <f>C39*60</f>
        <v>900</v>
      </c>
      <c r="C39" s="5">
        <v>15</v>
      </c>
      <c r="D39" s="8">
        <f>E26</f>
        <v>0.22572535481396241</v>
      </c>
      <c r="E39" s="9">
        <f>$D38+$E38</f>
        <v>0</v>
      </c>
      <c r="F39" s="10">
        <f t="shared" ref="F39:F41" si="21">((1.5*D39)+(0.2*E39))/1.5</f>
        <v>0.22572535481396241</v>
      </c>
      <c r="G39" s="10">
        <f t="shared" ref="G39:G41" si="22">F39*1.5</f>
        <v>0.33858803222094364</v>
      </c>
      <c r="H39" s="10">
        <f>(G39/21.4546012)*100</f>
        <v>1.5781604564196872</v>
      </c>
      <c r="K39">
        <f>L39*60</f>
        <v>900</v>
      </c>
      <c r="L39" s="5">
        <v>15</v>
      </c>
      <c r="M39" s="8">
        <f>F26</f>
        <v>0.17265945531261986</v>
      </c>
      <c r="N39" s="9">
        <f>$M38+$N38</f>
        <v>0</v>
      </c>
      <c r="O39" s="10">
        <f t="shared" ref="O39:O43" si="23">((1.5*M39)+(0.2*N39))/1.5</f>
        <v>0.17265945531261986</v>
      </c>
      <c r="P39" s="10">
        <f t="shared" ref="P39:P43" si="24">O39*1.5</f>
        <v>0.25898918296892981</v>
      </c>
      <c r="Q39" s="10">
        <f>(P39/21.4546012)*100</f>
        <v>1.2071498349217966</v>
      </c>
      <c r="T39">
        <f>U39*60</f>
        <v>900</v>
      </c>
      <c r="U39" s="5">
        <v>15</v>
      </c>
      <c r="V39" s="8">
        <f>G26</f>
        <v>0.18508630609896431</v>
      </c>
      <c r="W39" s="9">
        <f>$V38+$W38</f>
        <v>0</v>
      </c>
      <c r="X39" s="10">
        <f t="shared" ref="X39:X43" si="25">((1.5*V39)+(0.2*W39))/1.5</f>
        <v>0.18508630609896434</v>
      </c>
      <c r="Y39" s="10">
        <f t="shared" ref="Y39:Y43" si="26">X39*1.5</f>
        <v>0.2776294591484465</v>
      </c>
      <c r="Z39" s="10">
        <f>(Y39/21.4546012)*100</f>
        <v>1.2940322523843815</v>
      </c>
    </row>
    <row r="40" spans="2:26" x14ac:dyDescent="0.3">
      <c r="B40">
        <f t="shared" ref="B40:B43" si="27">C40*60</f>
        <v>1800</v>
      </c>
      <c r="C40" s="5">
        <v>30</v>
      </c>
      <c r="D40" s="8">
        <f t="shared" ref="D40:D43" si="28">E27</f>
        <v>0.291602608362102</v>
      </c>
      <c r="E40" s="9">
        <f t="shared" ref="E40:E43" si="29">$D39+$E39</f>
        <v>0.22572535481396241</v>
      </c>
      <c r="F40" s="10">
        <f t="shared" si="21"/>
        <v>0.32169932233729698</v>
      </c>
      <c r="G40" s="10">
        <f t="shared" si="22"/>
        <v>0.48254898350594544</v>
      </c>
      <c r="H40" s="10">
        <f t="shared" ref="H40:H41" si="30">(G40/21.4546012)*100</f>
        <v>2.2491631469055013</v>
      </c>
      <c r="K40">
        <f t="shared" ref="K40:K41" si="31">L40*60</f>
        <v>1800</v>
      </c>
      <c r="L40" s="5">
        <v>30</v>
      </c>
      <c r="M40" s="8">
        <f t="shared" ref="M40:M43" si="32">F27</f>
        <v>0.20801181434599156</v>
      </c>
      <c r="N40" s="9">
        <f t="shared" ref="N40:N42" si="33">$M39+$N39</f>
        <v>0.17265945531261986</v>
      </c>
      <c r="O40" s="10">
        <f t="shared" si="23"/>
        <v>0.23103307505434087</v>
      </c>
      <c r="P40" s="10">
        <f t="shared" si="24"/>
        <v>0.34654961258151129</v>
      </c>
      <c r="Q40" s="10">
        <f t="shared" ref="Q40:Q43" si="34">(P40/21.4546012)*100</f>
        <v>1.6152694210019216</v>
      </c>
      <c r="T40">
        <f t="shared" ref="T40:T41" si="35">U40*60</f>
        <v>1800</v>
      </c>
      <c r="U40" s="5">
        <v>30</v>
      </c>
      <c r="V40" s="8">
        <f t="shared" ref="V40:V43" si="36">G27</f>
        <v>0.27543153049482166</v>
      </c>
      <c r="W40" s="9">
        <f t="shared" ref="W40:W43" si="37">$V39+$W39</f>
        <v>0.18508630609896431</v>
      </c>
      <c r="X40" s="10">
        <f t="shared" si="25"/>
        <v>0.30010970464135028</v>
      </c>
      <c r="Y40" s="10">
        <f t="shared" si="26"/>
        <v>0.4501645569620254</v>
      </c>
      <c r="Z40" s="10">
        <f t="shared" ref="Z40:Z43" si="38">(Y40/21.4546012)*100</f>
        <v>2.0982191780941863</v>
      </c>
    </row>
    <row r="41" spans="2:26" x14ac:dyDescent="0.3">
      <c r="B41">
        <f t="shared" si="27"/>
        <v>3600</v>
      </c>
      <c r="C41" s="5">
        <v>60</v>
      </c>
      <c r="D41" s="8">
        <f t="shared" si="28"/>
        <v>0.44423245109321063</v>
      </c>
      <c r="E41" s="9">
        <f t="shared" si="29"/>
        <v>0.51732796317606444</v>
      </c>
      <c r="F41" s="10">
        <f t="shared" si="21"/>
        <v>0.51320951285001926</v>
      </c>
      <c r="G41" s="10">
        <f t="shared" si="22"/>
        <v>0.76981426927502894</v>
      </c>
      <c r="H41" s="10">
        <f t="shared" si="30"/>
        <v>3.5881080337910403</v>
      </c>
      <c r="K41">
        <f t="shared" si="31"/>
        <v>3600</v>
      </c>
      <c r="L41" s="5">
        <v>60</v>
      </c>
      <c r="M41" s="8">
        <f t="shared" si="32"/>
        <v>0.28523590333716914</v>
      </c>
      <c r="N41" s="9">
        <f t="shared" si="33"/>
        <v>0.38067126965861142</v>
      </c>
      <c r="O41" s="10">
        <f t="shared" si="23"/>
        <v>0.33599207262498404</v>
      </c>
      <c r="P41" s="10">
        <f t="shared" si="24"/>
        <v>0.50398810893747603</v>
      </c>
      <c r="Q41" s="10">
        <f t="shared" si="34"/>
        <v>2.3490910142737871</v>
      </c>
      <c r="T41">
        <f t="shared" si="35"/>
        <v>3600</v>
      </c>
      <c r="U41" s="5">
        <v>60</v>
      </c>
      <c r="V41" s="8">
        <f t="shared" si="36"/>
        <v>0.35450479478327579</v>
      </c>
      <c r="W41" s="9">
        <f t="shared" si="37"/>
        <v>0.46051783659378598</v>
      </c>
      <c r="X41" s="10">
        <f t="shared" si="25"/>
        <v>0.41590717299578062</v>
      </c>
      <c r="Y41" s="10">
        <f t="shared" si="26"/>
        <v>0.62386075949367092</v>
      </c>
      <c r="Z41" s="10">
        <f t="shared" si="38"/>
        <v>2.9078180185128351</v>
      </c>
    </row>
    <row r="42" spans="2:26" x14ac:dyDescent="0.3">
      <c r="B42">
        <v>5400</v>
      </c>
      <c r="C42" s="5">
        <v>90</v>
      </c>
      <c r="D42" s="8">
        <f t="shared" si="28"/>
        <v>0.53339624088991178</v>
      </c>
      <c r="E42" s="9">
        <f t="shared" si="29"/>
        <v>0.96156041426927508</v>
      </c>
      <c r="F42" s="10">
        <f t="shared" ref="F42:F43" si="39">((1.5*D42)+(0.2*E42))/1.5</f>
        <v>0.66160429612581517</v>
      </c>
      <c r="G42" s="10">
        <f t="shared" ref="G42:G43" si="40">F42*1.5</f>
        <v>0.99240644418872281</v>
      </c>
      <c r="H42" s="10">
        <f t="shared" ref="H42:H43" si="41">(G42/21.4546012)*100</f>
        <v>4.6256112380626444</v>
      </c>
      <c r="K42">
        <v>5400</v>
      </c>
      <c r="L42" s="5">
        <v>90</v>
      </c>
      <c r="M42" s="8">
        <f t="shared" si="32"/>
        <v>0.37240966628308397</v>
      </c>
      <c r="N42" s="9">
        <f t="shared" si="33"/>
        <v>0.66590717299578062</v>
      </c>
      <c r="O42" s="10">
        <f t="shared" si="23"/>
        <v>0.46119728934918802</v>
      </c>
      <c r="P42" s="10">
        <f t="shared" si="24"/>
        <v>0.69179593402378203</v>
      </c>
      <c r="Q42" s="10">
        <f t="shared" si="34"/>
        <v>3.2244641956979474</v>
      </c>
      <c r="T42">
        <v>5400</v>
      </c>
      <c r="U42" s="5">
        <v>90</v>
      </c>
      <c r="V42" s="8">
        <f t="shared" si="36"/>
        <v>0.48249098580744149</v>
      </c>
      <c r="W42" s="9">
        <f t="shared" si="37"/>
        <v>0.81502263137706177</v>
      </c>
      <c r="X42" s="10">
        <f t="shared" si="25"/>
        <v>0.59116066999104977</v>
      </c>
      <c r="Y42" s="10">
        <f t="shared" si="26"/>
        <v>0.88674100498657471</v>
      </c>
      <c r="Z42" s="10">
        <f t="shared" si="38"/>
        <v>4.1331041146855467</v>
      </c>
    </row>
    <row r="43" spans="2:26" x14ac:dyDescent="0.3">
      <c r="B43">
        <f t="shared" si="27"/>
        <v>7200</v>
      </c>
      <c r="C43" s="5">
        <v>120</v>
      </c>
      <c r="D43" s="8">
        <f t="shared" si="28"/>
        <v>0.57971538166474879</v>
      </c>
      <c r="E43" s="9">
        <f t="shared" si="29"/>
        <v>1.4949566551591869</v>
      </c>
      <c r="F43" s="10">
        <f t="shared" si="39"/>
        <v>0.7790429356859736</v>
      </c>
      <c r="G43" s="10">
        <f t="shared" si="40"/>
        <v>1.1685644035289604</v>
      </c>
      <c r="H43" s="10">
        <f t="shared" si="41"/>
        <v>5.446684338877203</v>
      </c>
      <c r="K43">
        <f t="shared" ref="K43" si="42">L43*60</f>
        <v>7200</v>
      </c>
      <c r="L43" s="5">
        <v>120</v>
      </c>
      <c r="M43" s="8">
        <f t="shared" si="32"/>
        <v>0.4577061756808592</v>
      </c>
      <c r="N43" s="9">
        <f>$M42+$N42</f>
        <v>1.0383168392788646</v>
      </c>
      <c r="O43" s="10">
        <f t="shared" si="23"/>
        <v>0.59614842091804121</v>
      </c>
      <c r="P43" s="10">
        <f t="shared" si="24"/>
        <v>0.89422263137706182</v>
      </c>
      <c r="Q43" s="10">
        <f t="shared" si="34"/>
        <v>4.1679760114910076</v>
      </c>
      <c r="T43">
        <f t="shared" ref="T43" si="43">U43*60</f>
        <v>7200</v>
      </c>
      <c r="U43" s="5">
        <v>120</v>
      </c>
      <c r="V43" s="8">
        <f t="shared" si="36"/>
        <v>0.56607057920981974</v>
      </c>
      <c r="W43" s="9">
        <f t="shared" si="37"/>
        <v>1.2975136171845032</v>
      </c>
      <c r="X43" s="10">
        <f t="shared" si="25"/>
        <v>0.73907239483442011</v>
      </c>
      <c r="Y43" s="10">
        <f t="shared" si="26"/>
        <v>1.1086085922516302</v>
      </c>
      <c r="Z43" s="10">
        <f t="shared" si="38"/>
        <v>5.1672300124209727</v>
      </c>
    </row>
    <row r="44" spans="2:26" x14ac:dyDescent="0.3">
      <c r="E44" s="11" t="s">
        <v>31</v>
      </c>
      <c r="F44">
        <f>SLOPE(G39:G43,B39:B43)</f>
        <v>1.3305636897949341E-4</v>
      </c>
      <c r="N44" s="11" t="s">
        <v>31</v>
      </c>
      <c r="O44">
        <f>SLOPE(P39:P43,K39:K43)</f>
        <v>9.9976508316675027E-5</v>
      </c>
      <c r="W44" s="11" t="s">
        <v>31</v>
      </c>
      <c r="X44">
        <f>SLOPE(Y39:Y43,T39:T43)</f>
        <v>1.2890575924938381E-4</v>
      </c>
    </row>
    <row r="45" spans="2:26" ht="16.2" x14ac:dyDescent="0.35">
      <c r="B45" t="s">
        <v>32</v>
      </c>
    </row>
    <row r="46" spans="2:26" ht="16.2" x14ac:dyDescent="0.35">
      <c r="B46" t="s">
        <v>33</v>
      </c>
    </row>
    <row r="47" spans="2:26" ht="16.2" x14ac:dyDescent="0.35">
      <c r="B47" t="s">
        <v>34</v>
      </c>
    </row>
    <row r="48" spans="2:26" x14ac:dyDescent="0.3">
      <c r="B48" t="s">
        <v>35</v>
      </c>
    </row>
    <row r="49" spans="2:28" ht="16.2" x14ac:dyDescent="0.35">
      <c r="B49" t="s">
        <v>36</v>
      </c>
    </row>
    <row r="51" spans="2:28" s="12" customFormat="1" x14ac:dyDescent="0.3"/>
    <row r="52" spans="2:28" x14ac:dyDescent="0.3">
      <c r="C52" s="2"/>
      <c r="D52" s="2"/>
      <c r="E52" s="2"/>
      <c r="F52" s="2"/>
      <c r="G52" s="2"/>
      <c r="H52" s="2"/>
      <c r="I52" s="2"/>
    </row>
    <row r="53" spans="2:28" x14ac:dyDescent="0.3">
      <c r="C53" t="s">
        <v>6</v>
      </c>
      <c r="D53" t="s">
        <v>14</v>
      </c>
    </row>
    <row r="55" spans="2:28" x14ac:dyDescent="0.3">
      <c r="C55" t="s">
        <v>7</v>
      </c>
      <c r="D55" t="s">
        <v>1</v>
      </c>
      <c r="E55" t="s">
        <v>0</v>
      </c>
    </row>
    <row r="56" spans="2:28" x14ac:dyDescent="0.3">
      <c r="E56">
        <v>1</v>
      </c>
      <c r="F56">
        <v>2</v>
      </c>
      <c r="G56">
        <v>3</v>
      </c>
      <c r="H56" t="s">
        <v>2</v>
      </c>
      <c r="I56" t="s">
        <v>3</v>
      </c>
      <c r="J56" t="s">
        <v>4</v>
      </c>
      <c r="K56" t="s">
        <v>5</v>
      </c>
    </row>
    <row r="57" spans="2:28" x14ac:dyDescent="0.3">
      <c r="C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2:28" x14ac:dyDescent="0.3">
      <c r="C58">
        <v>15</v>
      </c>
      <c r="E58">
        <v>1.2335499999999999</v>
      </c>
      <c r="F58" s="15">
        <v>0.70881400000000006</v>
      </c>
      <c r="G58">
        <v>1.46526</v>
      </c>
      <c r="H58">
        <f>AVERAGE(E58:G58)</f>
        <v>1.1358746666666668</v>
      </c>
      <c r="I58">
        <f>STDEV(E58:G58)</f>
        <v>0.38756675655341377</v>
      </c>
      <c r="J58">
        <f>I58/H58</f>
        <v>0.34120556424659565</v>
      </c>
      <c r="K58">
        <f>J58*100</f>
        <v>34.120556424659569</v>
      </c>
    </row>
    <row r="59" spans="2:28" x14ac:dyDescent="0.3">
      <c r="C59">
        <v>30</v>
      </c>
      <c r="E59">
        <v>1.64686</v>
      </c>
      <c r="F59">
        <v>1.5900700000000001</v>
      </c>
      <c r="G59">
        <v>2.2354500000000002</v>
      </c>
      <c r="H59">
        <f t="shared" ref="H59:H61" si="44">AVERAGE(E59:G59)</f>
        <v>1.8241266666666667</v>
      </c>
      <c r="I59">
        <f t="shared" ref="I59:I61" si="45">STDEV(E59:G59)</f>
        <v>0.35734638578462302</v>
      </c>
      <c r="J59">
        <f t="shared" ref="J59:J61" si="46">I59/H59</f>
        <v>0.19589998453211749</v>
      </c>
      <c r="K59">
        <f t="shared" ref="K59:K61" si="47">J59*100</f>
        <v>19.589998453211749</v>
      </c>
    </row>
    <row r="60" spans="2:28" x14ac:dyDescent="0.3">
      <c r="C60">
        <v>60</v>
      </c>
      <c r="E60">
        <v>3.6097999999999999</v>
      </c>
      <c r="F60">
        <v>3.1405400000000001</v>
      </c>
      <c r="G60">
        <v>3.74085</v>
      </c>
      <c r="H60">
        <f t="shared" si="44"/>
        <v>3.4970633333333332</v>
      </c>
      <c r="I60">
        <f t="shared" si="45"/>
        <v>0.31563458465975064</v>
      </c>
      <c r="J60">
        <f t="shared" si="46"/>
        <v>9.0257039857180352E-2</v>
      </c>
      <c r="K60">
        <f t="shared" si="47"/>
        <v>9.0257039857180352</v>
      </c>
    </row>
    <row r="61" spans="2:28" x14ac:dyDescent="0.3">
      <c r="C61">
        <v>90</v>
      </c>
      <c r="E61">
        <v>5.4551299999999996</v>
      </c>
      <c r="F61" s="1">
        <v>4.9043200000000002</v>
      </c>
      <c r="G61">
        <v>5.7381000000000002</v>
      </c>
      <c r="H61">
        <f t="shared" si="44"/>
        <v>5.3658499999999991</v>
      </c>
      <c r="I61">
        <f t="shared" si="45"/>
        <v>0.42399936426839124</v>
      </c>
      <c r="J61">
        <f t="shared" si="46"/>
        <v>7.9018117216916484E-2</v>
      </c>
      <c r="K61">
        <f t="shared" si="47"/>
        <v>7.9018117216916481</v>
      </c>
      <c r="X61" s="26" t="s">
        <v>13</v>
      </c>
      <c r="Y61" s="26"/>
      <c r="Z61" s="26"/>
      <c r="AA61" s="26"/>
      <c r="AB61" s="26"/>
    </row>
    <row r="62" spans="2:28" x14ac:dyDescent="0.3">
      <c r="C62">
        <v>120</v>
      </c>
      <c r="E62">
        <v>7.2611699999999999</v>
      </c>
      <c r="F62" s="1">
        <v>7.0705</v>
      </c>
      <c r="G62">
        <v>8.9292599999999993</v>
      </c>
      <c r="H62">
        <f t="shared" ref="H62" si="48">AVERAGE(E62:G62)</f>
        <v>7.7536433333333328</v>
      </c>
      <c r="I62">
        <f t="shared" ref="I62" si="49">STDEV(E62:G62)</f>
        <v>1.0225676859911721</v>
      </c>
      <c r="J62">
        <f t="shared" ref="J62" si="50">I62/H62</f>
        <v>0.1318822187235642</v>
      </c>
      <c r="K62">
        <f t="shared" ref="K62" si="51">J62*100</f>
        <v>13.18822187235642</v>
      </c>
      <c r="X62">
        <v>1</v>
      </c>
      <c r="Y62">
        <v>2</v>
      </c>
      <c r="Z62">
        <v>3</v>
      </c>
      <c r="AA62" t="s">
        <v>2</v>
      </c>
      <c r="AB62" t="s">
        <v>3</v>
      </c>
    </row>
    <row r="63" spans="2:28" x14ac:dyDescent="0.3">
      <c r="W63" s="4" t="s">
        <v>41</v>
      </c>
      <c r="X63">
        <f>H93*(1/(1.12*L109))</f>
        <v>4.9998166257190975E-6</v>
      </c>
      <c r="Y63">
        <f>Q93*(1/(1.12*L109))</f>
        <v>4.8757027334504261E-6</v>
      </c>
      <c r="Z63">
        <f>Z93*(1/(1.12*L109))</f>
        <v>5.6347588976175286E-6</v>
      </c>
      <c r="AA63" s="13">
        <f>AVERAGE(X63:Z63)</f>
        <v>5.1700927522623513E-6</v>
      </c>
      <c r="AB63">
        <f>STDEV(X63:Z63)</f>
        <v>4.0716954029365863E-7</v>
      </c>
    </row>
    <row r="64" spans="2:28" x14ac:dyDescent="0.3">
      <c r="C64">
        <v>15</v>
      </c>
      <c r="E64">
        <f>(E58+1.8971)/26.07</f>
        <v>0.12008630609896433</v>
      </c>
      <c r="F64">
        <f t="shared" ref="F64:G64" si="52">(F58+1.8971)/26.07</f>
        <v>9.9958342922899901E-2</v>
      </c>
      <c r="G64">
        <f t="shared" si="52"/>
        <v>0.12897429996164173</v>
      </c>
      <c r="H64">
        <f t="shared" ref="H64:H67" si="53">AVERAGE(E64:G64)</f>
        <v>0.11633964966116865</v>
      </c>
      <c r="I64">
        <f t="shared" ref="I64:I66" si="54">STDEV(E64:G64)</f>
        <v>1.4866388820614347E-2</v>
      </c>
      <c r="J64">
        <f t="shared" ref="J64:J66" si="55">I64/H64</f>
        <v>0.12778436985079203</v>
      </c>
      <c r="K64">
        <f t="shared" ref="K64:K66" si="56">J64*100</f>
        <v>12.778436985079203</v>
      </c>
    </row>
    <row r="65" spans="2:25" x14ac:dyDescent="0.3">
      <c r="C65">
        <v>30</v>
      </c>
      <c r="E65">
        <f>(E59+1.8971)/26.07</f>
        <v>0.13594016110471807</v>
      </c>
      <c r="F65">
        <f t="shared" ref="F65:G68" si="57">(F59+1.8971)/26.07</f>
        <v>0.13376179516685846</v>
      </c>
      <c r="G65">
        <f t="shared" si="57"/>
        <v>0.15851745301112391</v>
      </c>
      <c r="H65">
        <f t="shared" si="53"/>
        <v>0.14273980309423348</v>
      </c>
      <c r="I65">
        <f t="shared" si="54"/>
        <v>1.3707187793809902E-2</v>
      </c>
      <c r="J65">
        <f t="shared" si="55"/>
        <v>9.6029190854079696E-2</v>
      </c>
      <c r="K65">
        <f t="shared" si="56"/>
        <v>9.6029190854079705</v>
      </c>
    </row>
    <row r="66" spans="2:25" x14ac:dyDescent="0.3">
      <c r="C66">
        <v>60</v>
      </c>
      <c r="E66">
        <f>(E60+1.8971)/26.07</f>
        <v>0.21123513617184503</v>
      </c>
      <c r="F66">
        <f t="shared" si="57"/>
        <v>0.19323513617184501</v>
      </c>
      <c r="G66">
        <f t="shared" si="57"/>
        <v>0.21626198695818949</v>
      </c>
      <c r="H66">
        <f t="shared" si="53"/>
        <v>0.20691075310062654</v>
      </c>
      <c r="I66">
        <f t="shared" si="54"/>
        <v>1.210719542231496E-2</v>
      </c>
      <c r="J66">
        <f t="shared" si="55"/>
        <v>5.8514094801186529E-2</v>
      </c>
      <c r="K66">
        <f t="shared" si="56"/>
        <v>5.8514094801186527</v>
      </c>
    </row>
    <row r="67" spans="2:25" x14ac:dyDescent="0.3">
      <c r="C67">
        <v>90</v>
      </c>
      <c r="E67">
        <f>(E61+1.8971)/26.07</f>
        <v>0.28201879555044113</v>
      </c>
      <c r="F67">
        <f t="shared" si="57"/>
        <v>0.26089067894131185</v>
      </c>
      <c r="G67">
        <f t="shared" si="57"/>
        <v>0.2928730341388569</v>
      </c>
      <c r="H67">
        <f t="shared" si="53"/>
        <v>0.27859416954353661</v>
      </c>
      <c r="I67">
        <f>STDEV(E67:G67)</f>
        <v>1.6263880485937521E-2</v>
      </c>
      <c r="J67">
        <f>I67/H67</f>
        <v>5.8378395041738029E-2</v>
      </c>
      <c r="K67">
        <f>J67*100</f>
        <v>5.8378395041738029</v>
      </c>
    </row>
    <row r="68" spans="2:25" x14ac:dyDescent="0.3">
      <c r="C68">
        <v>120</v>
      </c>
      <c r="E68">
        <f>(E62+1.8971)/26.07</f>
        <v>0.351295358649789</v>
      </c>
      <c r="F68">
        <f t="shared" si="57"/>
        <v>0.34398158803222095</v>
      </c>
      <c r="G68">
        <f t="shared" si="57"/>
        <v>0.41528039892596852</v>
      </c>
      <c r="H68">
        <f t="shared" ref="H68" si="58">AVERAGE(E68:G68)</f>
        <v>0.37018578186932616</v>
      </c>
      <c r="I68">
        <f>STDEV(E68:G68)</f>
        <v>3.9223923513278414E-2</v>
      </c>
      <c r="J68">
        <f>I68/H68</f>
        <v>0.10595740148422091</v>
      </c>
      <c r="K68">
        <f>J68*100</f>
        <v>10.59574014842209</v>
      </c>
      <c r="X68" s="26" t="s">
        <v>29</v>
      </c>
      <c r="Y68" s="26"/>
    </row>
    <row r="69" spans="2:25" x14ac:dyDescent="0.3">
      <c r="W69" s="4" t="s">
        <v>24</v>
      </c>
      <c r="X69" t="s">
        <v>45</v>
      </c>
      <c r="Y69" t="s">
        <v>3</v>
      </c>
    </row>
    <row r="70" spans="2:25" x14ac:dyDescent="0.3">
      <c r="V70" s="4"/>
      <c r="W70">
        <v>0</v>
      </c>
      <c r="X70" s="21">
        <f>AVERAGE(I87,R87,AA87)</f>
        <v>0</v>
      </c>
      <c r="Y70" s="21">
        <f>STDEV(I87,R87,AA87)</f>
        <v>0</v>
      </c>
    </row>
    <row r="71" spans="2:25" x14ac:dyDescent="0.3">
      <c r="W71">
        <v>15</v>
      </c>
      <c r="X71" s="21">
        <f t="shared" ref="X71:X75" si="59">AVERAGE(I88,R88,AA88)</f>
        <v>0.2326792993223373</v>
      </c>
      <c r="Y71" s="21">
        <f t="shared" ref="Y71:Y75" si="60">STDEV(I88,R88,AA88)</f>
        <v>2.9732777641228694E-2</v>
      </c>
    </row>
    <row r="72" spans="2:25" x14ac:dyDescent="0.3">
      <c r="J72" s="26"/>
      <c r="K72" s="26"/>
      <c r="W72">
        <v>30</v>
      </c>
      <c r="X72" s="21">
        <f t="shared" si="59"/>
        <v>0.33201546605293442</v>
      </c>
      <c r="Y72" s="21">
        <f t="shared" si="60"/>
        <v>3.2305758718499777E-2</v>
      </c>
    </row>
    <row r="73" spans="2:25" x14ac:dyDescent="0.3">
      <c r="B73" t="s">
        <v>43</v>
      </c>
      <c r="E73">
        <v>1</v>
      </c>
      <c r="F73">
        <v>2</v>
      </c>
      <c r="G73">
        <v>3</v>
      </c>
      <c r="H73" t="s">
        <v>2</v>
      </c>
      <c r="I73" t="s">
        <v>3</v>
      </c>
      <c r="W73">
        <v>60</v>
      </c>
      <c r="X73" s="21">
        <f t="shared" si="59"/>
        <v>0.51745328730341389</v>
      </c>
      <c r="Y73" s="21">
        <f t="shared" si="60"/>
        <v>3.4388142132018636E-2</v>
      </c>
    </row>
    <row r="74" spans="2:25" x14ac:dyDescent="0.3">
      <c r="C74">
        <f t="shared" ref="C74:C79" si="61">C57</f>
        <v>0</v>
      </c>
      <c r="E74">
        <v>0</v>
      </c>
      <c r="F74">
        <v>0</v>
      </c>
      <c r="G74">
        <v>0</v>
      </c>
      <c r="H74">
        <v>0</v>
      </c>
      <c r="I74">
        <v>0</v>
      </c>
      <c r="W74">
        <v>90</v>
      </c>
      <c r="X74" s="21">
        <f t="shared" si="59"/>
        <v>0.74358442142948478</v>
      </c>
      <c r="Y74" s="21">
        <f t="shared" si="60"/>
        <v>4.7768949930748386E-2</v>
      </c>
    </row>
    <row r="75" spans="2:25" x14ac:dyDescent="0.3">
      <c r="C75">
        <f t="shared" si="61"/>
        <v>15</v>
      </c>
      <c r="E75">
        <f>E64*4</f>
        <v>0.48034522439585731</v>
      </c>
      <c r="F75">
        <f t="shared" ref="F75:G75" si="62">F64*4</f>
        <v>0.3998333716915996</v>
      </c>
      <c r="G75">
        <f t="shared" si="62"/>
        <v>0.5158971998465669</v>
      </c>
      <c r="H75">
        <f>AVERAGE(E75:G75)</f>
        <v>0.4653585986446746</v>
      </c>
      <c r="I75">
        <f>STDEV(E75:G75)</f>
        <v>5.9465555282457387E-2</v>
      </c>
      <c r="W75">
        <v>120</v>
      </c>
      <c r="X75" s="21">
        <f t="shared" si="59"/>
        <v>1.0382053138984784</v>
      </c>
      <c r="Y75" s="21">
        <f t="shared" si="60"/>
        <v>9.8112013144076152E-2</v>
      </c>
    </row>
    <row r="76" spans="2:25" x14ac:dyDescent="0.3">
      <c r="C76">
        <f t="shared" si="61"/>
        <v>30</v>
      </c>
      <c r="E76">
        <f t="shared" ref="E76:G79" si="63">E65*4</f>
        <v>0.54376064441887229</v>
      </c>
      <c r="F76">
        <f t="shared" si="63"/>
        <v>0.53504718066743384</v>
      </c>
      <c r="G76">
        <f t="shared" si="63"/>
        <v>0.63406981204449564</v>
      </c>
      <c r="H76">
        <f t="shared" ref="H76:H78" si="64">AVERAGE(E76:G76)</f>
        <v>0.57095921237693392</v>
      </c>
      <c r="I76">
        <f t="shared" ref="I76:I78" si="65">STDEV(E76:G76)</f>
        <v>5.482875117523961E-2</v>
      </c>
      <c r="X76" t="s">
        <v>46</v>
      </c>
      <c r="Y76" s="25">
        <f>AVERAGE(H93,Q93,Z93)</f>
        <v>1.2551265957922334E-4</v>
      </c>
    </row>
    <row r="77" spans="2:25" x14ac:dyDescent="0.3">
      <c r="C77">
        <f t="shared" si="61"/>
        <v>60</v>
      </c>
      <c r="E77">
        <f t="shared" si="63"/>
        <v>0.84494054468738011</v>
      </c>
      <c r="F77">
        <f t="shared" si="63"/>
        <v>0.77294054468738005</v>
      </c>
      <c r="G77">
        <f t="shared" si="63"/>
        <v>0.86504794783275796</v>
      </c>
      <c r="H77">
        <f t="shared" si="64"/>
        <v>0.82764301240250615</v>
      </c>
      <c r="I77">
        <f t="shared" si="65"/>
        <v>4.8428781689259841E-2</v>
      </c>
    </row>
    <row r="78" spans="2:25" x14ac:dyDescent="0.3">
      <c r="C78">
        <f t="shared" si="61"/>
        <v>90</v>
      </c>
      <c r="E78">
        <f t="shared" si="63"/>
        <v>1.1280751822017645</v>
      </c>
      <c r="F78">
        <f t="shared" si="63"/>
        <v>1.0435627157652474</v>
      </c>
      <c r="G78">
        <f t="shared" si="63"/>
        <v>1.1714921365554276</v>
      </c>
      <c r="H78">
        <f t="shared" si="64"/>
        <v>1.1143766781741464</v>
      </c>
      <c r="I78">
        <f t="shared" si="65"/>
        <v>6.5055521943750083E-2</v>
      </c>
    </row>
    <row r="79" spans="2:25" x14ac:dyDescent="0.3">
      <c r="C79">
        <f t="shared" si="61"/>
        <v>120</v>
      </c>
      <c r="E79">
        <f t="shared" si="63"/>
        <v>1.405181434599156</v>
      </c>
      <c r="F79">
        <f t="shared" si="63"/>
        <v>1.3759263521288838</v>
      </c>
      <c r="G79">
        <f t="shared" si="63"/>
        <v>1.6611215957038741</v>
      </c>
      <c r="H79">
        <f t="shared" ref="H79" si="66">AVERAGE(E79:G79)</f>
        <v>1.4807431274773046</v>
      </c>
      <c r="I79">
        <f t="shared" ref="I79" si="67">STDEV(E79:G79)</f>
        <v>0.15689569405311365</v>
      </c>
    </row>
    <row r="82" spans="4:28" ht="16.2" x14ac:dyDescent="0.35">
      <c r="D82" s="4"/>
      <c r="E82" s="4" t="s">
        <v>18</v>
      </c>
      <c r="F82" s="4" t="s">
        <v>19</v>
      </c>
      <c r="H82" t="s">
        <v>20</v>
      </c>
      <c r="M82" s="4"/>
      <c r="N82" s="4" t="s">
        <v>18</v>
      </c>
      <c r="O82" s="4" t="s">
        <v>19</v>
      </c>
      <c r="Q82" t="s">
        <v>20</v>
      </c>
      <c r="V82" s="4"/>
      <c r="W82" s="4" t="s">
        <v>18</v>
      </c>
      <c r="X82" s="4" t="s">
        <v>19</v>
      </c>
      <c r="Z82" t="s">
        <v>20</v>
      </c>
    </row>
    <row r="83" spans="4:28" x14ac:dyDescent="0.3">
      <c r="D83" s="5"/>
      <c r="E83" s="5">
        <v>0.5</v>
      </c>
      <c r="F83" s="5">
        <v>0.1</v>
      </c>
      <c r="G83" s="17"/>
      <c r="H83" s="17">
        <v>10000</v>
      </c>
      <c r="I83" s="17"/>
      <c r="J83" s="17"/>
      <c r="M83" s="5"/>
      <c r="N83" s="5">
        <v>0.5</v>
      </c>
      <c r="O83" s="5">
        <v>0.1</v>
      </c>
      <c r="P83" s="20"/>
      <c r="Q83" s="20">
        <v>10000</v>
      </c>
      <c r="R83" s="20"/>
      <c r="S83" s="20"/>
      <c r="V83" s="5"/>
      <c r="W83" s="5">
        <v>0.5</v>
      </c>
      <c r="X83" s="5">
        <v>0.1</v>
      </c>
      <c r="Y83" s="20"/>
      <c r="Z83" s="20">
        <v>10000</v>
      </c>
      <c r="AA83" s="20"/>
      <c r="AB83" s="20"/>
    </row>
    <row r="84" spans="4:28" x14ac:dyDescent="0.3">
      <c r="D84" s="4"/>
      <c r="E84" s="6" t="s">
        <v>21</v>
      </c>
      <c r="F84" s="6" t="s">
        <v>21</v>
      </c>
      <c r="G84" s="17"/>
      <c r="H84" s="7" t="s">
        <v>22</v>
      </c>
      <c r="I84" s="17"/>
      <c r="J84" s="17"/>
      <c r="M84" s="4"/>
      <c r="N84" s="6" t="s">
        <v>21</v>
      </c>
      <c r="O84" s="6" t="s">
        <v>21</v>
      </c>
      <c r="P84" s="20"/>
      <c r="Q84" s="7" t="s">
        <v>22</v>
      </c>
      <c r="R84" s="20"/>
      <c r="S84" s="20"/>
      <c r="V84" s="4"/>
      <c r="W84" s="6" t="s">
        <v>21</v>
      </c>
      <c r="X84" s="6" t="s">
        <v>21</v>
      </c>
      <c r="Y84" s="20"/>
      <c r="Z84" s="7" t="s">
        <v>22</v>
      </c>
      <c r="AA84" s="20"/>
      <c r="AB84" s="20"/>
    </row>
    <row r="85" spans="4:28" x14ac:dyDescent="0.3">
      <c r="D85" s="17"/>
      <c r="E85" s="17"/>
      <c r="F85" s="4" t="s">
        <v>23</v>
      </c>
      <c r="G85" s="17"/>
      <c r="H85" s="17"/>
      <c r="I85" s="17"/>
      <c r="J85" s="17"/>
      <c r="M85" s="20"/>
      <c r="N85" s="20"/>
      <c r="O85" s="4" t="s">
        <v>23</v>
      </c>
      <c r="P85" s="20"/>
      <c r="Q85" s="20"/>
      <c r="R85" s="20"/>
      <c r="S85" s="20"/>
      <c r="V85" s="20"/>
      <c r="W85" s="20"/>
      <c r="X85" s="4" t="s">
        <v>23</v>
      </c>
      <c r="Y85" s="20"/>
      <c r="Z85" s="20"/>
      <c r="AA85" s="20"/>
      <c r="AB85" s="20"/>
    </row>
    <row r="86" spans="4:28" x14ac:dyDescent="0.3">
      <c r="D86" s="4" t="s">
        <v>24</v>
      </c>
      <c r="E86" s="4" t="s">
        <v>25</v>
      </c>
      <c r="F86" t="s">
        <v>26</v>
      </c>
      <c r="G86" s="4" t="s">
        <v>27</v>
      </c>
      <c r="H86" s="4" t="s">
        <v>28</v>
      </c>
      <c r="I86" s="4" t="s">
        <v>29</v>
      </c>
      <c r="J86" s="4" t="s">
        <v>30</v>
      </c>
      <c r="M86" s="4" t="s">
        <v>24</v>
      </c>
      <c r="N86" s="4" t="s">
        <v>25</v>
      </c>
      <c r="O86" t="s">
        <v>26</v>
      </c>
      <c r="P86" s="4" t="s">
        <v>27</v>
      </c>
      <c r="Q86" s="4" t="s">
        <v>28</v>
      </c>
      <c r="R86" s="4" t="s">
        <v>29</v>
      </c>
      <c r="S86" s="4" t="s">
        <v>30</v>
      </c>
      <c r="V86" s="4" t="s">
        <v>24</v>
      </c>
      <c r="W86" s="4" t="s">
        <v>25</v>
      </c>
      <c r="X86" t="s">
        <v>26</v>
      </c>
      <c r="Y86" s="4" t="s">
        <v>27</v>
      </c>
      <c r="Z86" s="4" t="s">
        <v>28</v>
      </c>
      <c r="AA86" s="4" t="s">
        <v>29</v>
      </c>
      <c r="AB86" s="4" t="s">
        <v>30</v>
      </c>
    </row>
    <row r="87" spans="4:28" x14ac:dyDescent="0.3">
      <c r="D87">
        <v>0</v>
      </c>
      <c r="E87" s="5">
        <v>0</v>
      </c>
      <c r="F87" s="8">
        <v>0</v>
      </c>
      <c r="G87" s="9">
        <v>0</v>
      </c>
      <c r="H87" s="10">
        <f>((0.5*F87)+(0.1*G87))/0.5</f>
        <v>0</v>
      </c>
      <c r="I87" s="10">
        <f>H87*0.5</f>
        <v>0</v>
      </c>
      <c r="J87" s="10">
        <f>(I87/22.55873776)*100</f>
        <v>0</v>
      </c>
      <c r="M87">
        <v>0</v>
      </c>
      <c r="N87" s="5">
        <v>0</v>
      </c>
      <c r="O87" s="8">
        <v>0</v>
      </c>
      <c r="P87" s="9">
        <v>0</v>
      </c>
      <c r="Q87" s="10">
        <f>((0.5*O87)+(0.1*P87))/0.5</f>
        <v>0</v>
      </c>
      <c r="R87" s="10">
        <f>Q87*0.5</f>
        <v>0</v>
      </c>
      <c r="S87" s="10">
        <f>(R87/22.55873776)*100</f>
        <v>0</v>
      </c>
      <c r="V87">
        <v>0</v>
      </c>
      <c r="W87" s="5">
        <v>0</v>
      </c>
      <c r="X87" s="8">
        <v>0</v>
      </c>
      <c r="Y87" s="9">
        <v>0</v>
      </c>
      <c r="Z87" s="10">
        <f>((0.5*X87)+(0.1*Y87))/0.5</f>
        <v>0</v>
      </c>
      <c r="AA87" s="10">
        <f>Z87*0.5</f>
        <v>0</v>
      </c>
      <c r="AB87" s="10">
        <f>(AA87/22.55873776)*100</f>
        <v>0</v>
      </c>
    </row>
    <row r="88" spans="4:28" x14ac:dyDescent="0.3">
      <c r="D88">
        <f>E88*60</f>
        <v>900</v>
      </c>
      <c r="E88" s="5">
        <v>15</v>
      </c>
      <c r="F88" s="8">
        <f>E75</f>
        <v>0.48034522439585731</v>
      </c>
      <c r="G88" s="9">
        <f>$F87+$G87</f>
        <v>0</v>
      </c>
      <c r="H88" s="10">
        <f t="shared" ref="H88:H90" si="68">((0.5*F88)+(0.1*G88))/0.5</f>
        <v>0.48034522439585731</v>
      </c>
      <c r="I88" s="10">
        <f t="shared" ref="I88:I90" si="69">H88*0.5</f>
        <v>0.24017261219792865</v>
      </c>
      <c r="J88" s="10">
        <f t="shared" ref="J88:J90" si="70">(I88/22.55873776)*100</f>
        <v>1.0646544800205553</v>
      </c>
      <c r="M88">
        <f>N88*60</f>
        <v>900</v>
      </c>
      <c r="N88" s="5">
        <v>15</v>
      </c>
      <c r="O88" s="8">
        <f>F75</f>
        <v>0.3998333716915996</v>
      </c>
      <c r="P88" s="9">
        <f>$O87+$P87</f>
        <v>0</v>
      </c>
      <c r="Q88" s="10">
        <f t="shared" ref="Q88:Q92" si="71">((0.5*O88)+(0.1*P88))/0.5</f>
        <v>0.3998333716915996</v>
      </c>
      <c r="R88" s="10">
        <f t="shared" ref="R88:R92" si="72">Q88*0.5</f>
        <v>0.1999166858457998</v>
      </c>
      <c r="S88" s="10">
        <f t="shared" ref="S88:S92" si="73">(R88/22.55873776)*100</f>
        <v>0.8862051058560636</v>
      </c>
      <c r="V88">
        <f>W88*60</f>
        <v>900</v>
      </c>
      <c r="W88" s="5">
        <v>15</v>
      </c>
      <c r="X88" s="8">
        <f>G75</f>
        <v>0.5158971998465669</v>
      </c>
      <c r="Y88" s="9">
        <f>$X87+$Y87</f>
        <v>0</v>
      </c>
      <c r="Z88" s="10">
        <f t="shared" ref="Z88:Z92" si="74">((0.5*X88)+(0.1*Y88))/0.5</f>
        <v>0.5158971998465669</v>
      </c>
      <c r="AA88" s="10">
        <f t="shared" ref="AA88:AA92" si="75">Z88*0.5</f>
        <v>0.25794859992328345</v>
      </c>
      <c r="AB88" s="10">
        <f t="shared" ref="AB88:AB92" si="76">(AA88/22.55873776)*100</f>
        <v>1.1434531606669267</v>
      </c>
    </row>
    <row r="89" spans="4:28" x14ac:dyDescent="0.3">
      <c r="D89">
        <f t="shared" ref="D89:D92" si="77">E89*60</f>
        <v>1800</v>
      </c>
      <c r="E89" s="5">
        <v>30</v>
      </c>
      <c r="F89" s="8">
        <f t="shared" ref="F89:F92" si="78">E76</f>
        <v>0.54376064441887229</v>
      </c>
      <c r="G89" s="9">
        <f t="shared" ref="G89:G92" si="79">$F88+$G88</f>
        <v>0.48034522439585731</v>
      </c>
      <c r="H89" s="10">
        <f t="shared" si="68"/>
        <v>0.63982968929804374</v>
      </c>
      <c r="I89" s="10">
        <f t="shared" si="69"/>
        <v>0.31991484464902187</v>
      </c>
      <c r="J89" s="10">
        <f t="shared" si="70"/>
        <v>1.4181416001753366</v>
      </c>
      <c r="M89">
        <f t="shared" ref="M89:M90" si="80">N89*60</f>
        <v>1800</v>
      </c>
      <c r="N89" s="5">
        <v>30</v>
      </c>
      <c r="O89" s="8">
        <f t="shared" ref="O89:O92" si="81">F76</f>
        <v>0.53504718066743384</v>
      </c>
      <c r="P89" s="9">
        <f t="shared" ref="P89:P92" si="82">$O88+$P88</f>
        <v>0.3998333716915996</v>
      </c>
      <c r="Q89" s="10">
        <f t="shared" si="71"/>
        <v>0.61501385500575378</v>
      </c>
      <c r="R89" s="10">
        <f t="shared" si="72"/>
        <v>0.30750692750287689</v>
      </c>
      <c r="S89" s="10">
        <f t="shared" si="73"/>
        <v>1.3631388900141941</v>
      </c>
      <c r="V89">
        <f t="shared" ref="V89:V90" si="83">W89*60</f>
        <v>1800</v>
      </c>
      <c r="W89" s="5">
        <v>30</v>
      </c>
      <c r="X89" s="8">
        <f t="shared" ref="X89:X92" si="84">G76</f>
        <v>0.63406981204449564</v>
      </c>
      <c r="Y89" s="9">
        <f t="shared" ref="Y89:Y92" si="85">$X88+$Y88</f>
        <v>0.5158971998465669</v>
      </c>
      <c r="Z89" s="10">
        <f t="shared" si="74"/>
        <v>0.73724925201380898</v>
      </c>
      <c r="AA89" s="10">
        <f t="shared" si="75"/>
        <v>0.36862462600690449</v>
      </c>
      <c r="AB89" s="10">
        <f t="shared" si="76"/>
        <v>1.6340658326217652</v>
      </c>
    </row>
    <row r="90" spans="4:28" x14ac:dyDescent="0.3">
      <c r="D90">
        <f t="shared" si="77"/>
        <v>3600</v>
      </c>
      <c r="E90" s="5">
        <v>60</v>
      </c>
      <c r="F90" s="8">
        <f t="shared" si="78"/>
        <v>0.84494054468738011</v>
      </c>
      <c r="G90" s="9">
        <f t="shared" si="79"/>
        <v>1.0241058688147295</v>
      </c>
      <c r="H90" s="10">
        <f t="shared" si="68"/>
        <v>1.0497617184503261</v>
      </c>
      <c r="I90" s="10">
        <f t="shared" si="69"/>
        <v>0.52488085922516303</v>
      </c>
      <c r="J90" s="10">
        <f t="shared" si="70"/>
        <v>2.3267297346567632</v>
      </c>
      <c r="M90">
        <f t="shared" si="80"/>
        <v>3600</v>
      </c>
      <c r="N90" s="5">
        <v>60</v>
      </c>
      <c r="O90" s="8">
        <f t="shared" si="81"/>
        <v>0.77294054468738005</v>
      </c>
      <c r="P90" s="9">
        <f t="shared" si="82"/>
        <v>0.93488055235903345</v>
      </c>
      <c r="Q90" s="10">
        <f t="shared" si="71"/>
        <v>0.95991665515918678</v>
      </c>
      <c r="R90" s="10">
        <f t="shared" si="72"/>
        <v>0.47995832757959339</v>
      </c>
      <c r="S90" s="10">
        <f t="shared" si="73"/>
        <v>2.1275938959254672</v>
      </c>
      <c r="V90">
        <f t="shared" si="83"/>
        <v>3600</v>
      </c>
      <c r="W90" s="5">
        <v>60</v>
      </c>
      <c r="X90" s="8">
        <f t="shared" si="84"/>
        <v>0.86504794783275796</v>
      </c>
      <c r="Y90" s="9">
        <f t="shared" si="85"/>
        <v>1.1499670118910625</v>
      </c>
      <c r="Z90" s="10">
        <f t="shared" si="74"/>
        <v>1.0950413502109706</v>
      </c>
      <c r="AA90" s="10">
        <f t="shared" si="75"/>
        <v>0.5475206751054853</v>
      </c>
      <c r="AB90" s="10">
        <f t="shared" si="76"/>
        <v>2.4270891435970365</v>
      </c>
    </row>
    <row r="91" spans="4:28" x14ac:dyDescent="0.3">
      <c r="D91">
        <v>5400</v>
      </c>
      <c r="E91" s="5">
        <v>90</v>
      </c>
      <c r="F91" s="8">
        <f t="shared" si="78"/>
        <v>1.1280751822017645</v>
      </c>
      <c r="G91" s="9">
        <f t="shared" si="79"/>
        <v>1.8690464135021096</v>
      </c>
      <c r="H91" s="10">
        <f t="shared" ref="H91:H92" si="86">((0.5*F91)+(0.1*G91))/0.5</f>
        <v>1.5018844649021865</v>
      </c>
      <c r="I91" s="10">
        <f t="shared" ref="I91:I92" si="87">H91*0.5</f>
        <v>0.75094223245109326</v>
      </c>
      <c r="J91" s="10">
        <f t="shared" ref="J91:J92" si="88">(I91/22.55873776)*100</f>
        <v>3.3288308966587019</v>
      </c>
      <c r="M91">
        <v>5400</v>
      </c>
      <c r="N91" s="5">
        <v>90</v>
      </c>
      <c r="O91" s="8">
        <f t="shared" si="81"/>
        <v>1.0435627157652474</v>
      </c>
      <c r="P91" s="9">
        <f t="shared" si="82"/>
        <v>1.7078210970464136</v>
      </c>
      <c r="Q91" s="10">
        <f t="shared" si="71"/>
        <v>1.3851269351745301</v>
      </c>
      <c r="R91" s="10">
        <f t="shared" si="72"/>
        <v>0.69256346758726506</v>
      </c>
      <c r="S91" s="10">
        <f t="shared" si="73"/>
        <v>3.0700452966623124</v>
      </c>
      <c r="V91">
        <v>5400</v>
      </c>
      <c r="W91" s="5">
        <v>90</v>
      </c>
      <c r="X91" s="8">
        <f t="shared" si="84"/>
        <v>1.1714921365554276</v>
      </c>
      <c r="Y91" s="9">
        <f t="shared" si="85"/>
        <v>2.0150149597238203</v>
      </c>
      <c r="Z91" s="10">
        <f t="shared" si="74"/>
        <v>1.5744951285001916</v>
      </c>
      <c r="AA91" s="10">
        <f t="shared" si="75"/>
        <v>0.78724756425009579</v>
      </c>
      <c r="AB91" s="10">
        <f t="shared" si="76"/>
        <v>3.4897677903149482</v>
      </c>
    </row>
    <row r="92" spans="4:28" x14ac:dyDescent="0.3">
      <c r="D92">
        <f t="shared" si="77"/>
        <v>7200</v>
      </c>
      <c r="E92" s="5">
        <v>120</v>
      </c>
      <c r="F92" s="8">
        <f t="shared" si="78"/>
        <v>1.405181434599156</v>
      </c>
      <c r="G92" s="9">
        <f t="shared" si="79"/>
        <v>2.9971215957038742</v>
      </c>
      <c r="H92" s="10">
        <f t="shared" si="86"/>
        <v>2.0046057537399307</v>
      </c>
      <c r="I92" s="10">
        <f t="shared" si="87"/>
        <v>1.0023028768699653</v>
      </c>
      <c r="J92" s="10">
        <f t="shared" si="88"/>
        <v>4.4430804929484911</v>
      </c>
      <c r="M92">
        <f t="shared" ref="M92" si="89">N92*60</f>
        <v>7200</v>
      </c>
      <c r="N92" s="5">
        <v>120</v>
      </c>
      <c r="O92" s="8">
        <f t="shared" si="81"/>
        <v>1.3759263521288838</v>
      </c>
      <c r="P92" s="9">
        <f t="shared" si="82"/>
        <v>2.7513838128116612</v>
      </c>
      <c r="Q92" s="10">
        <f t="shared" si="71"/>
        <v>1.9262031146912162</v>
      </c>
      <c r="R92" s="10">
        <f t="shared" si="72"/>
        <v>0.96310155734560809</v>
      </c>
      <c r="S92" s="10">
        <f t="shared" si="73"/>
        <v>4.2693060560034111</v>
      </c>
      <c r="V92">
        <f t="shared" ref="V92" si="90">W92*60</f>
        <v>7200</v>
      </c>
      <c r="W92" s="5">
        <v>120</v>
      </c>
      <c r="X92" s="8">
        <f t="shared" si="84"/>
        <v>1.6611215957038741</v>
      </c>
      <c r="Y92" s="9">
        <f t="shared" si="85"/>
        <v>3.1865070962792479</v>
      </c>
      <c r="Z92" s="10">
        <f t="shared" si="74"/>
        <v>2.2984230149597238</v>
      </c>
      <c r="AA92" s="10">
        <f t="shared" si="75"/>
        <v>1.1492115074798619</v>
      </c>
      <c r="AB92" s="10">
        <f t="shared" si="76"/>
        <v>5.0943076678589039</v>
      </c>
    </row>
    <row r="93" spans="4:28" x14ac:dyDescent="0.3">
      <c r="G93" s="11" t="s">
        <v>31</v>
      </c>
      <c r="H93">
        <f>SLOPE(I88:I92,D88:D92)</f>
        <v>1.2137892145703198E-4</v>
      </c>
      <c r="P93" s="11" t="s">
        <v>31</v>
      </c>
      <c r="Q93">
        <f>SLOPE(R88:R92,M88:M92)</f>
        <v>1.1836584887674732E-4</v>
      </c>
      <c r="Y93" s="11" t="s">
        <v>31</v>
      </c>
      <c r="Z93">
        <f>SLOPE(AA88:AA92,V88:V92)</f>
        <v>1.3679320840389071E-4</v>
      </c>
    </row>
    <row r="94" spans="4:28" ht="16.2" x14ac:dyDescent="0.35">
      <c r="D94" t="s">
        <v>32</v>
      </c>
    </row>
    <row r="95" spans="4:28" ht="16.2" x14ac:dyDescent="0.35">
      <c r="D95" t="s">
        <v>33</v>
      </c>
    </row>
    <row r="96" spans="4:28" ht="16.2" x14ac:dyDescent="0.35">
      <c r="D96" t="s">
        <v>34</v>
      </c>
    </row>
    <row r="97" spans="3:12" x14ac:dyDescent="0.3">
      <c r="D97" t="s">
        <v>35</v>
      </c>
    </row>
    <row r="98" spans="3:12" ht="16.2" x14ac:dyDescent="0.35">
      <c r="D98" t="s">
        <v>36</v>
      </c>
    </row>
    <row r="100" spans="3:12" s="12" customFormat="1" x14ac:dyDescent="0.3"/>
    <row r="102" spans="3:12" x14ac:dyDescent="0.3">
      <c r="C102" t="s">
        <v>10</v>
      </c>
      <c r="H102" t="s">
        <v>2</v>
      </c>
      <c r="I102" t="s">
        <v>3</v>
      </c>
      <c r="K102" t="s">
        <v>37</v>
      </c>
      <c r="L102" t="s">
        <v>40</v>
      </c>
    </row>
    <row r="103" spans="3:12" x14ac:dyDescent="0.3">
      <c r="C103">
        <v>0</v>
      </c>
      <c r="E103">
        <v>136.10432</v>
      </c>
      <c r="F103">
        <v>138.92064999999999</v>
      </c>
      <c r="G103">
        <v>131.31599</v>
      </c>
      <c r="H103">
        <f t="shared" ref="H103:H110" si="91">AVERAGE(E103:G103)</f>
        <v>135.44698666666667</v>
      </c>
      <c r="I103">
        <f t="shared" ref="I103:I110" si="92">STDEV(E103:G103)</f>
        <v>3.8447078903647958</v>
      </c>
      <c r="K103">
        <f>(H103+1.8971)/26.07</f>
        <v>5.2682810382304055</v>
      </c>
      <c r="L103">
        <f>K103*4</f>
        <v>21.073124152921622</v>
      </c>
    </row>
    <row r="104" spans="3:12" x14ac:dyDescent="0.3">
      <c r="C104">
        <v>120</v>
      </c>
      <c r="E104">
        <v>12.34074</v>
      </c>
      <c r="F104">
        <v>14.47593</v>
      </c>
      <c r="G104">
        <v>14.15734</v>
      </c>
      <c r="H104">
        <f t="shared" si="91"/>
        <v>13.658003333333333</v>
      </c>
      <c r="I104">
        <f t="shared" si="92"/>
        <v>1.1518515156188025</v>
      </c>
      <c r="K104">
        <f>(H104+1.8971)/26.07</f>
        <v>0.596666794527554</v>
      </c>
      <c r="L104">
        <f>K104*4</f>
        <v>2.386667178110216</v>
      </c>
    </row>
    <row r="108" spans="3:12" x14ac:dyDescent="0.3">
      <c r="C108" t="s">
        <v>11</v>
      </c>
    </row>
    <row r="109" spans="3:12" x14ac:dyDescent="0.3">
      <c r="C109">
        <v>0</v>
      </c>
      <c r="E109">
        <v>269.94400000000002</v>
      </c>
      <c r="F109">
        <v>284.09557999999998</v>
      </c>
      <c r="G109">
        <v>287.89355</v>
      </c>
      <c r="H109">
        <f t="shared" si="91"/>
        <v>280.64437666666669</v>
      </c>
      <c r="I109">
        <f t="shared" si="92"/>
        <v>9.4593704672474441</v>
      </c>
      <c r="K109">
        <f>(H109+1.8971)/26.07</f>
        <v>10.837801176320164</v>
      </c>
      <c r="L109">
        <f>K109*2</f>
        <v>21.675602352640329</v>
      </c>
    </row>
    <row r="110" spans="3:12" x14ac:dyDescent="0.3">
      <c r="C110">
        <v>120</v>
      </c>
      <c r="E110">
        <v>154.43449000000001</v>
      </c>
      <c r="F110">
        <v>177.88837000000001</v>
      </c>
      <c r="G110">
        <v>158.28086999999999</v>
      </c>
      <c r="H110">
        <f t="shared" si="91"/>
        <v>163.53457666666665</v>
      </c>
      <c r="I110">
        <f t="shared" si="92"/>
        <v>12.578640509535735</v>
      </c>
      <c r="K110">
        <f>(H110+1.8971)/26.07</f>
        <v>6.3456722925457099</v>
      </c>
      <c r="L110">
        <f>K110*2</f>
        <v>12.69134458509142</v>
      </c>
    </row>
    <row r="112" spans="3:12" x14ac:dyDescent="0.3">
      <c r="F112" s="1"/>
    </row>
    <row r="113" spans="3:8" x14ac:dyDescent="0.3">
      <c r="H113" t="s">
        <v>2</v>
      </c>
    </row>
    <row r="114" spans="3:8" x14ac:dyDescent="0.3">
      <c r="C114" t="s">
        <v>16</v>
      </c>
      <c r="D114" t="s">
        <v>17</v>
      </c>
      <c r="E114">
        <v>747.20672999999999</v>
      </c>
      <c r="F114">
        <v>747.10991999999999</v>
      </c>
      <c r="G114">
        <v>745.98590000000002</v>
      </c>
      <c r="H114">
        <f>AVERAGE(E114:G114)</f>
        <v>746.76751666666667</v>
      </c>
    </row>
    <row r="115" spans="3:8" x14ac:dyDescent="0.3">
      <c r="D115" t="s">
        <v>38</v>
      </c>
      <c r="E115">
        <f>(E114+1.8971)/26.07</f>
        <v>28.734324127349446</v>
      </c>
      <c r="F115">
        <f t="shared" ref="F115:G115" si="93">(F114+1.8971)/26.07</f>
        <v>28.730610663598007</v>
      </c>
      <c r="G115">
        <f t="shared" si="93"/>
        <v>28.687495205216724</v>
      </c>
      <c r="H115">
        <f t="shared" ref="H115:H116" si="94">AVERAGE(E115:G115)</f>
        <v>28.717476665388059</v>
      </c>
    </row>
    <row r="116" spans="3:8" x14ac:dyDescent="0.3">
      <c r="D116" t="s">
        <v>39</v>
      </c>
      <c r="E116">
        <f>E115/4</f>
        <v>7.1835810318373614</v>
      </c>
      <c r="F116">
        <f t="shared" ref="F116:G116" si="95">F115/4</f>
        <v>7.1826526658995018</v>
      </c>
      <c r="G116">
        <f t="shared" si="95"/>
        <v>7.171873801304181</v>
      </c>
      <c r="H116">
        <f t="shared" si="94"/>
        <v>7.1793691663470147</v>
      </c>
    </row>
    <row r="123" spans="3:8" s="14" customFormat="1" x14ac:dyDescent="0.3"/>
    <row r="124" spans="3:8" s="14" customFormat="1" x14ac:dyDescent="0.3"/>
    <row r="131" spans="3:26" x14ac:dyDescent="0.3">
      <c r="C131" t="s">
        <v>15</v>
      </c>
      <c r="D131" t="s">
        <v>13</v>
      </c>
    </row>
    <row r="133" spans="3:26" x14ac:dyDescent="0.3">
      <c r="C133" t="s">
        <v>7</v>
      </c>
      <c r="D133" t="s">
        <v>1</v>
      </c>
      <c r="E133" t="s">
        <v>0</v>
      </c>
    </row>
    <row r="134" spans="3:26" x14ac:dyDescent="0.3">
      <c r="E134">
        <v>1</v>
      </c>
      <c r="F134">
        <v>2</v>
      </c>
      <c r="G134">
        <v>3</v>
      </c>
      <c r="H134" t="s">
        <v>2</v>
      </c>
      <c r="I134" t="s">
        <v>3</v>
      </c>
      <c r="J134" t="s">
        <v>4</v>
      </c>
      <c r="K134" t="s">
        <v>5</v>
      </c>
    </row>
    <row r="135" spans="3:26" x14ac:dyDescent="0.3">
      <c r="C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3:26" x14ac:dyDescent="0.3">
      <c r="C136">
        <v>15</v>
      </c>
      <c r="E136" s="19">
        <v>0.381299</v>
      </c>
      <c r="F136" s="19">
        <v>0.41503800000000002</v>
      </c>
      <c r="G136" s="1">
        <v>0.52283999999999997</v>
      </c>
      <c r="H136">
        <f>AVERAGE(E136:G136)</f>
        <v>0.43972566666666668</v>
      </c>
      <c r="I136">
        <f>STDEV(E136:G136)</f>
        <v>7.3929522751965002E-2</v>
      </c>
      <c r="J136">
        <f>I136/H136</f>
        <v>0.16812646692285796</v>
      </c>
      <c r="K136">
        <f>J136*100</f>
        <v>16.812646692285796</v>
      </c>
    </row>
    <row r="137" spans="3:26" x14ac:dyDescent="0.3">
      <c r="C137">
        <v>30</v>
      </c>
      <c r="E137" s="19">
        <v>0.89239999999999997</v>
      </c>
      <c r="F137" s="19">
        <v>0.49528699999999998</v>
      </c>
      <c r="G137" s="1">
        <v>1.2130399999999999</v>
      </c>
      <c r="H137">
        <f t="shared" ref="H137:H138" si="96">AVERAGE(E137:G137)</f>
        <v>0.86690900000000004</v>
      </c>
      <c r="I137">
        <f t="shared" ref="I137:I138" si="97">STDEV(E137:G137)</f>
        <v>0.35955484360942747</v>
      </c>
      <c r="J137">
        <f t="shared" ref="J137:J138" si="98">I137/H137</f>
        <v>0.41475500151622308</v>
      </c>
      <c r="K137">
        <f t="shared" ref="K137:K138" si="99">J137*100</f>
        <v>41.475500151622306</v>
      </c>
    </row>
    <row r="138" spans="3:26" x14ac:dyDescent="0.3">
      <c r="C138">
        <v>60</v>
      </c>
      <c r="E138" s="1">
        <v>1.47054</v>
      </c>
      <c r="F138" s="19">
        <v>0.93292299999999995</v>
      </c>
      <c r="G138" s="1">
        <v>1.4134500000000001</v>
      </c>
      <c r="H138">
        <f t="shared" si="96"/>
        <v>1.2723043333333333</v>
      </c>
      <c r="I138">
        <f t="shared" si="97"/>
        <v>0.29529575697312949</v>
      </c>
      <c r="J138">
        <f t="shared" si="98"/>
        <v>0.23209522221737527</v>
      </c>
      <c r="K138">
        <f t="shared" si="99"/>
        <v>23.209522221737526</v>
      </c>
    </row>
    <row r="139" spans="3:26" x14ac:dyDescent="0.3">
      <c r="C139">
        <v>90</v>
      </c>
      <c r="E139" s="1">
        <v>2.3459099999999999</v>
      </c>
      <c r="F139" s="1">
        <v>1.2454499999999999</v>
      </c>
      <c r="G139" s="1">
        <v>2.16601</v>
      </c>
      <c r="H139">
        <f t="shared" ref="H139:H140" si="100">AVERAGE(E139:G139)</f>
        <v>1.9191233333333333</v>
      </c>
      <c r="I139">
        <f t="shared" ref="I139:I140" si="101">STDEV(E139:G139)</f>
        <v>0.59031163171102541</v>
      </c>
      <c r="J139">
        <f t="shared" ref="J139:J140" si="102">I139/H139</f>
        <v>0.30759442160796968</v>
      </c>
      <c r="K139">
        <f t="shared" ref="K139:K140" si="103">J139*100</f>
        <v>30.759442160796969</v>
      </c>
    </row>
    <row r="140" spans="3:26" ht="13.95" customHeight="1" x14ac:dyDescent="0.3">
      <c r="C140">
        <v>120</v>
      </c>
      <c r="E140" s="1">
        <v>2.8470300000000002</v>
      </c>
      <c r="F140" s="1">
        <v>1.8599000000000001</v>
      </c>
      <c r="G140" s="1">
        <v>3.0008599999999999</v>
      </c>
      <c r="H140">
        <f t="shared" si="100"/>
        <v>2.5692633333333332</v>
      </c>
      <c r="I140">
        <f t="shared" si="101"/>
        <v>0.61912290478816578</v>
      </c>
      <c r="J140">
        <f t="shared" si="102"/>
        <v>0.24097292665790032</v>
      </c>
      <c r="K140">
        <f t="shared" si="103"/>
        <v>24.097292665790032</v>
      </c>
    </row>
    <row r="141" spans="3:26" x14ac:dyDescent="0.3">
      <c r="G141" s="1"/>
      <c r="V141" s="4"/>
      <c r="W141" s="16"/>
    </row>
    <row r="142" spans="3:26" x14ac:dyDescent="0.3">
      <c r="V142" s="26" t="s">
        <v>13</v>
      </c>
      <c r="W142" s="26"/>
      <c r="X142" s="26"/>
      <c r="Y142" s="26"/>
      <c r="Z142" s="26"/>
    </row>
    <row r="143" spans="3:26" x14ac:dyDescent="0.3">
      <c r="V143">
        <v>1</v>
      </c>
      <c r="W143">
        <v>2</v>
      </c>
      <c r="X143">
        <v>3</v>
      </c>
      <c r="Y143" t="s">
        <v>2</v>
      </c>
      <c r="Z143" t="s">
        <v>3</v>
      </c>
    </row>
    <row r="144" spans="3:26" x14ac:dyDescent="0.3">
      <c r="U144" s="4" t="s">
        <v>41</v>
      </c>
      <c r="V144">
        <f>F174*(1/(1.12*L235))</f>
        <v>1.0004250600969529E-6</v>
      </c>
      <c r="W144">
        <f>O174*(1/(1.12*L235))</f>
        <v>6.5505451042126255E-7</v>
      </c>
      <c r="X144">
        <f>X174*(1/(1.12*L235))</f>
        <v>1.0211497407913205E-6</v>
      </c>
      <c r="Y144" s="13">
        <f>AVERAGE(V144:X144)</f>
        <v>8.9220977043651195E-7</v>
      </c>
      <c r="Z144">
        <f>STDEV(V144:X144)</f>
        <v>2.0564372373633555E-7</v>
      </c>
    </row>
    <row r="145" spans="1:23" x14ac:dyDescent="0.3">
      <c r="J145" s="26"/>
      <c r="K145" s="26"/>
    </row>
    <row r="146" spans="1:23" x14ac:dyDescent="0.3">
      <c r="C146" t="s">
        <v>7</v>
      </c>
      <c r="E146">
        <v>1</v>
      </c>
      <c r="F146">
        <v>2</v>
      </c>
      <c r="G146">
        <v>3</v>
      </c>
      <c r="H146" t="s">
        <v>2</v>
      </c>
      <c r="I146" t="s">
        <v>3</v>
      </c>
    </row>
    <row r="147" spans="1:23" x14ac:dyDescent="0.3">
      <c r="C147">
        <f>C135</f>
        <v>0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23" x14ac:dyDescent="0.3">
      <c r="C148">
        <f>C136</f>
        <v>15</v>
      </c>
      <c r="E148">
        <f>(E136-0.387)/28.975</f>
        <v>-1.9675582398619539E-4</v>
      </c>
      <c r="F148">
        <f t="shared" ref="F148:G148" si="104">(F136-0.387)/28.975</f>
        <v>9.6766177739430559E-4</v>
      </c>
      <c r="G148">
        <f t="shared" si="104"/>
        <v>4.6881794650560811E-3</v>
      </c>
      <c r="H148">
        <f>AVERAGE(E148:G148)</f>
        <v>1.8196951394880638E-3</v>
      </c>
      <c r="I148">
        <f>STDEV(E148:G148)</f>
        <v>2.5514934513189E-3</v>
      </c>
    </row>
    <row r="149" spans="1:23" x14ac:dyDescent="0.3">
      <c r="C149">
        <f>C137</f>
        <v>30</v>
      </c>
      <c r="E149">
        <f t="shared" ref="E149:G149" si="105">(E137-0.387)/28.975</f>
        <v>1.7442622950819671E-2</v>
      </c>
      <c r="F149">
        <f t="shared" si="105"/>
        <v>3.7372562553925786E-3</v>
      </c>
      <c r="G149">
        <f t="shared" si="105"/>
        <v>2.8508714408973249E-2</v>
      </c>
      <c r="H149">
        <f t="shared" ref="H149:H150" si="106">AVERAGE(E149:G149)</f>
        <v>1.6562864538395169E-2</v>
      </c>
      <c r="I149">
        <f t="shared" ref="I149:I150" si="107">STDEV(E149:G149)</f>
        <v>1.2409140417926748E-2</v>
      </c>
      <c r="V149" s="26" t="s">
        <v>29</v>
      </c>
      <c r="W149" s="26"/>
    </row>
    <row r="150" spans="1:23" x14ac:dyDescent="0.3">
      <c r="C150">
        <f>C138</f>
        <v>60</v>
      </c>
      <c r="E150">
        <f t="shared" ref="E150:G150" si="108">(E138-0.387)/28.975</f>
        <v>3.7395685936151848E-2</v>
      </c>
      <c r="F150">
        <f t="shared" si="108"/>
        <v>1.8841173425366693E-2</v>
      </c>
      <c r="G150">
        <f t="shared" si="108"/>
        <v>3.5425366695427091E-2</v>
      </c>
      <c r="H150">
        <f t="shared" si="106"/>
        <v>3.0554075352315208E-2</v>
      </c>
      <c r="I150">
        <f t="shared" si="107"/>
        <v>1.0191397997347001E-2</v>
      </c>
      <c r="U150" s="4" t="s">
        <v>24</v>
      </c>
      <c r="V150" t="s">
        <v>45</v>
      </c>
      <c r="W150" t="s">
        <v>3</v>
      </c>
    </row>
    <row r="151" spans="1:23" x14ac:dyDescent="0.3">
      <c r="C151">
        <v>90</v>
      </c>
      <c r="E151">
        <f t="shared" ref="E151:G151" si="109">(E139-0.387)/28.975</f>
        <v>6.7606902502157021E-2</v>
      </c>
      <c r="F151">
        <f t="shared" si="109"/>
        <v>2.9627264883520271E-2</v>
      </c>
      <c r="G151">
        <f t="shared" si="109"/>
        <v>6.1398101811906809E-2</v>
      </c>
      <c r="H151">
        <f t="shared" ref="H151:H152" si="110">AVERAGE(E151:G151)</f>
        <v>5.2877423065861372E-2</v>
      </c>
      <c r="I151">
        <f t="shared" ref="I151:I152" si="111">STDEV(E151:G151)</f>
        <v>2.0373136556031925E-2</v>
      </c>
      <c r="U151">
        <v>0</v>
      </c>
      <c r="V151" s="21">
        <f>AVERAGE(G168,P168,Y168)</f>
        <v>0</v>
      </c>
      <c r="W151" s="21">
        <f>STDEV(G168,P168,Y168)</f>
        <v>0</v>
      </c>
    </row>
    <row r="152" spans="1:23" x14ac:dyDescent="0.3">
      <c r="C152">
        <f>C140</f>
        <v>120</v>
      </c>
      <c r="E152">
        <f t="shared" ref="E152:G152" si="112">(E140-0.387)/28.975</f>
        <v>8.4901811906816227E-2</v>
      </c>
      <c r="F152">
        <f t="shared" si="112"/>
        <v>5.0833477135461609E-2</v>
      </c>
      <c r="G152">
        <f t="shared" si="112"/>
        <v>9.0210871440897317E-2</v>
      </c>
      <c r="H152">
        <f t="shared" si="110"/>
        <v>7.5315386827725053E-2</v>
      </c>
      <c r="I152">
        <f t="shared" si="111"/>
        <v>2.136748592884086E-2</v>
      </c>
      <c r="U152">
        <v>15</v>
      </c>
      <c r="V152" s="21">
        <f t="shared" ref="V152:V156" si="113">AVERAGE(G169,P169,Y169)</f>
        <v>5.4590854184641919E-3</v>
      </c>
      <c r="W152" s="21">
        <f t="shared" ref="W152:W156" si="114">STDEV(G169,P169,Y169)</f>
        <v>7.6544803539567007E-3</v>
      </c>
    </row>
    <row r="153" spans="1:23" x14ac:dyDescent="0.3">
      <c r="U153">
        <v>30</v>
      </c>
      <c r="V153" s="21">
        <f t="shared" si="113"/>
        <v>5.0416471670980727E-2</v>
      </c>
      <c r="W153" s="21">
        <f t="shared" si="114"/>
        <v>3.793450829638164E-2</v>
      </c>
    </row>
    <row r="154" spans="1:23" x14ac:dyDescent="0.3">
      <c r="A154" t="s">
        <v>42</v>
      </c>
      <c r="C154">
        <f>C147</f>
        <v>0</v>
      </c>
      <c r="E154">
        <v>0</v>
      </c>
      <c r="F154">
        <v>0</v>
      </c>
      <c r="G154">
        <v>0</v>
      </c>
      <c r="H154">
        <f t="shared" ref="H154:H159" si="115">AVERAGE(E154:G154)</f>
        <v>0</v>
      </c>
      <c r="I154">
        <f t="shared" ref="I154:I159" si="116">STDEV(E154:G154)</f>
        <v>0</v>
      </c>
      <c r="U154">
        <v>60</v>
      </c>
      <c r="V154" s="21">
        <f t="shared" si="113"/>
        <v>9.9015249928098917E-2</v>
      </c>
      <c r="W154" s="21">
        <f t="shared" si="114"/>
        <v>3.516986921402019E-2</v>
      </c>
    </row>
    <row r="155" spans="1:23" x14ac:dyDescent="0.3">
      <c r="C155">
        <f>C148</f>
        <v>15</v>
      </c>
      <c r="E155">
        <f>E148*2</f>
        <v>-3.9351164797239078E-4</v>
      </c>
      <c r="F155">
        <f t="shared" ref="F155:G155" si="117">F148*2</f>
        <v>1.9353235547886112E-3</v>
      </c>
      <c r="G155">
        <f t="shared" si="117"/>
        <v>9.3763589301121622E-3</v>
      </c>
      <c r="H155">
        <f t="shared" si="115"/>
        <v>3.6393902789761275E-3</v>
      </c>
      <c r="I155">
        <f t="shared" si="116"/>
        <v>5.1029869026377999E-3</v>
      </c>
      <c r="U155">
        <v>90</v>
      </c>
      <c r="V155" s="21">
        <f t="shared" si="113"/>
        <v>0.17820692320966347</v>
      </c>
      <c r="W155" s="21">
        <f t="shared" si="114"/>
        <v>6.9507421415718113E-2</v>
      </c>
    </row>
    <row r="156" spans="1:23" x14ac:dyDescent="0.3">
      <c r="C156">
        <f>C149</f>
        <v>30</v>
      </c>
      <c r="E156">
        <f t="shared" ref="E156:G156" si="118">E149*2</f>
        <v>3.4885245901639342E-2</v>
      </c>
      <c r="F156">
        <f t="shared" si="118"/>
        <v>7.4745125107851572E-3</v>
      </c>
      <c r="G156">
        <f t="shared" si="118"/>
        <v>5.7017428817946497E-2</v>
      </c>
      <c r="H156">
        <f t="shared" si="115"/>
        <v>3.3125729076790338E-2</v>
      </c>
      <c r="I156">
        <f t="shared" si="116"/>
        <v>2.4818280835853496E-2</v>
      </c>
      <c r="U156">
        <v>120</v>
      </c>
      <c r="V156" s="21">
        <f t="shared" si="113"/>
        <v>0.25765753005464481</v>
      </c>
      <c r="W156" s="21">
        <f t="shared" si="114"/>
        <v>7.6214686387684458E-2</v>
      </c>
    </row>
    <row r="157" spans="1:23" x14ac:dyDescent="0.3">
      <c r="C157">
        <f>C150</f>
        <v>60</v>
      </c>
      <c r="E157">
        <f t="shared" ref="E157:G157" si="119">E150*2</f>
        <v>7.4791371872303697E-2</v>
      </c>
      <c r="F157">
        <f t="shared" si="119"/>
        <v>3.7682346850733385E-2</v>
      </c>
      <c r="G157">
        <f t="shared" si="119"/>
        <v>7.0850733390854181E-2</v>
      </c>
      <c r="H157">
        <f t="shared" si="115"/>
        <v>6.1108150704630416E-2</v>
      </c>
      <c r="I157">
        <f t="shared" si="116"/>
        <v>2.0382795994694003E-2</v>
      </c>
      <c r="V157" t="s">
        <v>46</v>
      </c>
      <c r="W157" s="25">
        <f>AVERAGE(F174,O174,X174)</f>
        <v>3.9832645424481277E-5</v>
      </c>
    </row>
    <row r="158" spans="1:23" x14ac:dyDescent="0.3">
      <c r="C158">
        <v>90</v>
      </c>
      <c r="E158">
        <f t="shared" ref="E158:G158" si="120">E151*2</f>
        <v>0.13521380500431404</v>
      </c>
      <c r="F158">
        <f t="shared" si="120"/>
        <v>5.9254529767040542E-2</v>
      </c>
      <c r="G158">
        <f t="shared" si="120"/>
        <v>0.12279620362381362</v>
      </c>
      <c r="H158">
        <f t="shared" ref="H158" si="121">AVERAGE(E158:G158)</f>
        <v>0.10575484613172274</v>
      </c>
      <c r="I158">
        <f t="shared" ref="I158" si="122">STDEV(E158:G158)</f>
        <v>4.0746273112063851E-2</v>
      </c>
    </row>
    <row r="159" spans="1:23" x14ac:dyDescent="0.3">
      <c r="C159">
        <f>C152</f>
        <v>120</v>
      </c>
      <c r="E159">
        <f t="shared" ref="E159:G159" si="123">E152*2</f>
        <v>0.16980362381363245</v>
      </c>
      <c r="F159">
        <f t="shared" si="123"/>
        <v>0.10166695427092322</v>
      </c>
      <c r="G159">
        <f t="shared" si="123"/>
        <v>0.18042174288179463</v>
      </c>
      <c r="H159">
        <f t="shared" si="115"/>
        <v>0.15063077365545011</v>
      </c>
      <c r="I159">
        <f t="shared" si="116"/>
        <v>4.2734971857681721E-2</v>
      </c>
    </row>
    <row r="163" spans="2:26" ht="16.2" x14ac:dyDescent="0.35">
      <c r="B163" s="4"/>
      <c r="C163" s="4" t="s">
        <v>18</v>
      </c>
      <c r="D163" s="4" t="s">
        <v>19</v>
      </c>
      <c r="F163" t="s">
        <v>20</v>
      </c>
      <c r="K163" s="4"/>
      <c r="L163" s="4" t="s">
        <v>18</v>
      </c>
      <c r="M163" s="4" t="s">
        <v>19</v>
      </c>
      <c r="O163" t="s">
        <v>20</v>
      </c>
      <c r="T163" s="4"/>
      <c r="U163" s="4" t="s">
        <v>18</v>
      </c>
      <c r="V163" s="4" t="s">
        <v>19</v>
      </c>
      <c r="X163" t="s">
        <v>20</v>
      </c>
    </row>
    <row r="164" spans="2:26" x14ac:dyDescent="0.3">
      <c r="B164" s="5"/>
      <c r="C164" s="5">
        <v>1.5</v>
      </c>
      <c r="D164" s="5">
        <v>0.2</v>
      </c>
      <c r="E164" s="17"/>
      <c r="F164" s="17">
        <v>10000</v>
      </c>
      <c r="G164" s="17"/>
      <c r="H164" s="17"/>
      <c r="K164" s="5"/>
      <c r="L164" s="5">
        <v>1.5</v>
      </c>
      <c r="M164" s="5">
        <v>0.2</v>
      </c>
      <c r="N164" s="20"/>
      <c r="O164" s="20">
        <v>10000</v>
      </c>
      <c r="P164" s="20"/>
      <c r="Q164" s="20"/>
      <c r="T164" s="5"/>
      <c r="U164" s="5">
        <v>1.5</v>
      </c>
      <c r="V164" s="5">
        <v>0.2</v>
      </c>
      <c r="W164" s="20"/>
      <c r="X164" s="20">
        <v>10000</v>
      </c>
      <c r="Y164" s="20"/>
      <c r="Z164" s="20"/>
    </row>
    <row r="165" spans="2:26" x14ac:dyDescent="0.3">
      <c r="B165" s="4"/>
      <c r="C165" s="6" t="s">
        <v>21</v>
      </c>
      <c r="D165" s="6" t="s">
        <v>21</v>
      </c>
      <c r="E165" s="17"/>
      <c r="F165" s="7" t="s">
        <v>22</v>
      </c>
      <c r="G165" s="17"/>
      <c r="H165" s="17"/>
      <c r="K165" s="4"/>
      <c r="L165" s="6" t="s">
        <v>21</v>
      </c>
      <c r="M165" s="6" t="s">
        <v>21</v>
      </c>
      <c r="N165" s="20"/>
      <c r="O165" s="7" t="s">
        <v>22</v>
      </c>
      <c r="P165" s="20"/>
      <c r="Q165" s="20"/>
      <c r="T165" s="4"/>
      <c r="U165" s="6" t="s">
        <v>21</v>
      </c>
      <c r="V165" s="6" t="s">
        <v>21</v>
      </c>
      <c r="W165" s="20"/>
      <c r="X165" s="7" t="s">
        <v>22</v>
      </c>
      <c r="Y165" s="20"/>
      <c r="Z165" s="20"/>
    </row>
    <row r="166" spans="2:26" x14ac:dyDescent="0.3">
      <c r="B166" s="17"/>
      <c r="C166" s="17"/>
      <c r="D166" s="4" t="s">
        <v>23</v>
      </c>
      <c r="E166" s="17"/>
      <c r="F166" s="17"/>
      <c r="G166" s="17"/>
      <c r="H166" s="17"/>
      <c r="K166" s="20"/>
      <c r="L166" s="20"/>
      <c r="M166" s="4" t="s">
        <v>23</v>
      </c>
      <c r="N166" s="20"/>
      <c r="O166" s="20"/>
      <c r="P166" s="20"/>
      <c r="Q166" s="20"/>
      <c r="T166" s="20"/>
      <c r="U166" s="20"/>
      <c r="V166" s="4" t="s">
        <v>23</v>
      </c>
      <c r="W166" s="20"/>
      <c r="X166" s="20"/>
      <c r="Y166" s="20"/>
      <c r="Z166" s="20"/>
    </row>
    <row r="167" spans="2:26" x14ac:dyDescent="0.3">
      <c r="B167" s="4" t="s">
        <v>24</v>
      </c>
      <c r="C167" s="4" t="s">
        <v>25</v>
      </c>
      <c r="D167" t="s">
        <v>26</v>
      </c>
      <c r="E167" s="4" t="s">
        <v>27</v>
      </c>
      <c r="F167" s="4" t="s">
        <v>28</v>
      </c>
      <c r="G167" s="4" t="s">
        <v>29</v>
      </c>
      <c r="H167" s="4" t="s">
        <v>30</v>
      </c>
      <c r="K167" s="4" t="s">
        <v>24</v>
      </c>
      <c r="L167" s="4" t="s">
        <v>25</v>
      </c>
      <c r="M167" t="s">
        <v>26</v>
      </c>
      <c r="N167" s="4" t="s">
        <v>27</v>
      </c>
      <c r="O167" s="4" t="s">
        <v>28</v>
      </c>
      <c r="P167" s="4" t="s">
        <v>29</v>
      </c>
      <c r="Q167" s="4" t="s">
        <v>30</v>
      </c>
      <c r="T167" s="4" t="s">
        <v>24</v>
      </c>
      <c r="U167" s="4" t="s">
        <v>25</v>
      </c>
      <c r="V167" t="s">
        <v>26</v>
      </c>
      <c r="W167" s="4" t="s">
        <v>27</v>
      </c>
      <c r="X167" s="4" t="s">
        <v>28</v>
      </c>
      <c r="Y167" s="4" t="s">
        <v>29</v>
      </c>
      <c r="Z167" s="4" t="s">
        <v>30</v>
      </c>
    </row>
    <row r="168" spans="2:26" x14ac:dyDescent="0.3">
      <c r="B168">
        <v>0</v>
      </c>
      <c r="C168" s="5">
        <v>0</v>
      </c>
      <c r="D168" s="8">
        <v>0</v>
      </c>
      <c r="E168" s="9">
        <v>0</v>
      </c>
      <c r="F168" s="10">
        <f>((1.5*D168)+(0.2*E168))/1.5</f>
        <v>0</v>
      </c>
      <c r="G168" s="10">
        <f>F168*1.5</f>
        <v>0</v>
      </c>
      <c r="H168" s="10">
        <v>0</v>
      </c>
      <c r="K168">
        <v>0</v>
      </c>
      <c r="L168" s="5">
        <v>0</v>
      </c>
      <c r="M168" s="8">
        <v>0</v>
      </c>
      <c r="N168" s="9">
        <v>0</v>
      </c>
      <c r="O168" s="10">
        <f>((1.5*M168)+(0.2*N168))/1.5</f>
        <v>0</v>
      </c>
      <c r="P168" s="10">
        <f>O168*1.5</f>
        <v>0</v>
      </c>
      <c r="Q168" s="10">
        <v>0</v>
      </c>
      <c r="T168">
        <v>0</v>
      </c>
      <c r="U168" s="5">
        <v>0</v>
      </c>
      <c r="V168" s="8">
        <v>0</v>
      </c>
      <c r="W168" s="9">
        <v>0</v>
      </c>
      <c r="X168" s="10">
        <f>((1.5*V168)+(0.2*W168))/1.5</f>
        <v>0</v>
      </c>
      <c r="Y168" s="10">
        <f>X168*1.5</f>
        <v>0</v>
      </c>
      <c r="Z168" s="10">
        <v>0</v>
      </c>
    </row>
    <row r="169" spans="2:26" x14ac:dyDescent="0.3">
      <c r="B169">
        <f>C169*60</f>
        <v>900</v>
      </c>
      <c r="C169" s="5">
        <v>15</v>
      </c>
      <c r="D169" s="8">
        <f>E155</f>
        <v>-3.9351164797239078E-4</v>
      </c>
      <c r="E169" s="9">
        <f>$D168+$E168</f>
        <v>0</v>
      </c>
      <c r="F169" s="10">
        <f t="shared" ref="F169:F173" si="124">((1.5*D169)+(0.2*E169))/1.5</f>
        <v>-3.9351164797239078E-4</v>
      </c>
      <c r="G169" s="10">
        <f t="shared" ref="G169:G171" si="125">F169*1.5</f>
        <v>-5.9026747195858615E-4</v>
      </c>
      <c r="H169" s="10">
        <f>(G169/39.27497512)*100</f>
        <v>-1.5029098558435603E-3</v>
      </c>
      <c r="K169">
        <f>L169*60</f>
        <v>900</v>
      </c>
      <c r="L169" s="5">
        <v>15</v>
      </c>
      <c r="M169" s="8">
        <f>F155</f>
        <v>1.9353235547886112E-3</v>
      </c>
      <c r="N169" s="9">
        <f>$M168+$N168</f>
        <v>0</v>
      </c>
      <c r="O169" s="10">
        <f t="shared" ref="O169:O173" si="126">((1.5*M169)+(0.2*N169))/1.5</f>
        <v>1.9353235547886112E-3</v>
      </c>
      <c r="P169" s="10">
        <f t="shared" ref="P169:P172" si="127">O169*1.5</f>
        <v>2.9029853321829169E-3</v>
      </c>
      <c r="Q169" s="10">
        <f>(P169/39.27497512)*100</f>
        <v>7.3914377369131154E-3</v>
      </c>
      <c r="T169">
        <f>U169*60</f>
        <v>900</v>
      </c>
      <c r="U169" s="5">
        <v>15</v>
      </c>
      <c r="V169" s="8">
        <f>G155</f>
        <v>9.3763589301121622E-3</v>
      </c>
      <c r="W169" s="9">
        <f>$V168+$W168</f>
        <v>0</v>
      </c>
      <c r="X169" s="10">
        <f t="shared" ref="X169:X173" si="128">((1.5*V169)+(0.2*W169))/1.5</f>
        <v>9.3763589301121622E-3</v>
      </c>
      <c r="Y169" s="10">
        <f t="shared" ref="Y169:Y172" si="129">X169*1.5</f>
        <v>1.4064538395168243E-2</v>
      </c>
      <c r="Z169" s="10">
        <f>(Y169/39.27497512)*100</f>
        <v>3.5810432348322881E-2</v>
      </c>
    </row>
    <row r="170" spans="2:26" x14ac:dyDescent="0.3">
      <c r="B170">
        <f t="shared" ref="B170:B173" si="130">C170*60</f>
        <v>1800</v>
      </c>
      <c r="C170" s="5">
        <v>30</v>
      </c>
      <c r="D170" s="8">
        <f t="shared" ref="D170:D173" si="131">E156</f>
        <v>3.4885245901639342E-2</v>
      </c>
      <c r="E170" s="9">
        <f t="shared" ref="E170:E172" si="132">$D169+$E169</f>
        <v>-3.9351164797239078E-4</v>
      </c>
      <c r="F170" s="10">
        <f t="shared" si="124"/>
        <v>3.4832777681909691E-2</v>
      </c>
      <c r="G170" s="10">
        <f t="shared" si="125"/>
        <v>5.2249166522864536E-2</v>
      </c>
      <c r="H170" s="10">
        <f t="shared" ref="H170:H173" si="133">(G170/39.27497512)*100</f>
        <v>0.13303424474038097</v>
      </c>
      <c r="K170">
        <f t="shared" ref="K170:K171" si="134">L170*60</f>
        <v>1800</v>
      </c>
      <c r="L170" s="5">
        <v>30</v>
      </c>
      <c r="M170" s="8">
        <f t="shared" ref="M170:M173" si="135">F156</f>
        <v>7.4745125107851572E-3</v>
      </c>
      <c r="N170" s="9">
        <f t="shared" ref="N170:N173" si="136">$M169+$N169</f>
        <v>1.9353235547886112E-3</v>
      </c>
      <c r="O170" s="10">
        <f t="shared" si="126"/>
        <v>7.7325556514236393E-3</v>
      </c>
      <c r="P170" s="10">
        <f t="shared" si="127"/>
        <v>1.1598833477135459E-2</v>
      </c>
      <c r="Q170" s="10">
        <f t="shared" ref="Q170:Q173" si="137">(P170/39.27497512)*100</f>
        <v>2.9532376383935591E-2</v>
      </c>
      <c r="T170">
        <f t="shared" ref="T170:T171" si="138">U170*60</f>
        <v>1800</v>
      </c>
      <c r="U170" s="5">
        <v>30</v>
      </c>
      <c r="V170" s="8">
        <f t="shared" ref="V170:V173" si="139">G156</f>
        <v>5.7017428817946497E-2</v>
      </c>
      <c r="W170" s="9">
        <f t="shared" ref="W170:W173" si="140">$V169+$W169</f>
        <v>9.3763589301121622E-3</v>
      </c>
      <c r="X170" s="10">
        <f t="shared" si="128"/>
        <v>5.8267610008628123E-2</v>
      </c>
      <c r="Y170" s="10">
        <f t="shared" si="129"/>
        <v>8.7401415012942185E-2</v>
      </c>
      <c r="Z170" s="10">
        <f t="shared" ref="Z170:Z173" si="141">(Y170/39.27497512)*100</f>
        <v>0.22253716201193657</v>
      </c>
    </row>
    <row r="171" spans="2:26" x14ac:dyDescent="0.3">
      <c r="B171">
        <f t="shared" si="130"/>
        <v>3600</v>
      </c>
      <c r="C171" s="5">
        <v>60</v>
      </c>
      <c r="D171" s="8">
        <f t="shared" si="131"/>
        <v>7.4791371872303697E-2</v>
      </c>
      <c r="E171" s="9">
        <f t="shared" si="132"/>
        <v>3.4491734253666952E-2</v>
      </c>
      <c r="F171" s="10">
        <f t="shared" si="124"/>
        <v>7.9390269772792621E-2</v>
      </c>
      <c r="G171" s="10">
        <f t="shared" si="125"/>
        <v>0.11908540465918893</v>
      </c>
      <c r="H171" s="10">
        <f t="shared" si="133"/>
        <v>0.30320937007684329</v>
      </c>
      <c r="K171">
        <f t="shared" si="134"/>
        <v>3600</v>
      </c>
      <c r="L171" s="5">
        <v>60</v>
      </c>
      <c r="M171" s="8">
        <f t="shared" si="135"/>
        <v>3.7682346850733385E-2</v>
      </c>
      <c r="N171" s="9">
        <f t="shared" si="136"/>
        <v>9.4098360655737682E-3</v>
      </c>
      <c r="O171" s="10">
        <f t="shared" si="126"/>
        <v>3.8936991659476554E-2</v>
      </c>
      <c r="P171" s="10">
        <f t="shared" si="127"/>
        <v>5.8405487489214827E-2</v>
      </c>
      <c r="Q171" s="10">
        <f t="shared" si="137"/>
        <v>0.14870916483273083</v>
      </c>
      <c r="T171">
        <f t="shared" si="138"/>
        <v>3600</v>
      </c>
      <c r="U171" s="5">
        <v>60</v>
      </c>
      <c r="V171" s="8">
        <f t="shared" si="139"/>
        <v>7.0850733390854181E-2</v>
      </c>
      <c r="W171" s="9">
        <f t="shared" si="140"/>
        <v>6.6393787748058652E-2</v>
      </c>
      <c r="X171" s="10">
        <f t="shared" si="128"/>
        <v>7.9703238423928666E-2</v>
      </c>
      <c r="Y171" s="10">
        <f t="shared" si="129"/>
        <v>0.11955485763589299</v>
      </c>
      <c r="Z171" s="10">
        <f t="shared" si="141"/>
        <v>0.30440466803761779</v>
      </c>
    </row>
    <row r="172" spans="2:26" x14ac:dyDescent="0.3">
      <c r="B172">
        <v>5400</v>
      </c>
      <c r="C172" s="5">
        <v>90</v>
      </c>
      <c r="D172" s="8">
        <f t="shared" si="131"/>
        <v>0.13521380500431404</v>
      </c>
      <c r="E172" s="9">
        <f t="shared" si="132"/>
        <v>0.10928310612597064</v>
      </c>
      <c r="F172" s="10">
        <f t="shared" ref="F172" si="142">((1.5*D172)+(0.2*E172))/1.5</f>
        <v>0.14978488582111013</v>
      </c>
      <c r="G172" s="10">
        <f t="shared" ref="G172" si="143">F172*1.5</f>
        <v>0.22467732873166518</v>
      </c>
      <c r="H172" s="10">
        <f t="shared" ref="H172" si="144">(G172/39.27497512)*100</f>
        <v>0.57206230696567073</v>
      </c>
      <c r="K172">
        <v>5400</v>
      </c>
      <c r="L172" s="5">
        <v>90</v>
      </c>
      <c r="M172" s="8">
        <f t="shared" si="135"/>
        <v>5.9254529767040542E-2</v>
      </c>
      <c r="N172" s="9">
        <f t="shared" si="136"/>
        <v>4.7092182916307151E-2</v>
      </c>
      <c r="O172" s="10">
        <f t="shared" si="126"/>
        <v>6.5533487489214823E-2</v>
      </c>
      <c r="P172" s="10">
        <f t="shared" si="127"/>
        <v>9.8300231233822227E-2</v>
      </c>
      <c r="Q172" s="10">
        <f t="shared" si="137"/>
        <v>0.25028718906499009</v>
      </c>
      <c r="T172">
        <v>5400</v>
      </c>
      <c r="U172" s="5">
        <v>90</v>
      </c>
      <c r="V172" s="8">
        <f t="shared" si="139"/>
        <v>0.12279620362381362</v>
      </c>
      <c r="W172" s="9">
        <f t="shared" si="140"/>
        <v>0.13724452113891283</v>
      </c>
      <c r="X172" s="10">
        <f t="shared" si="128"/>
        <v>0.141095473109002</v>
      </c>
      <c r="Y172" s="10">
        <f t="shared" si="129"/>
        <v>0.211643209663503</v>
      </c>
      <c r="Z172" s="10">
        <f t="shared" si="141"/>
        <v>0.5388754773665736</v>
      </c>
    </row>
    <row r="173" spans="2:26" x14ac:dyDescent="0.3">
      <c r="B173">
        <f t="shared" si="130"/>
        <v>7200</v>
      </c>
      <c r="C173" s="5">
        <v>120</v>
      </c>
      <c r="D173" s="8">
        <f t="shared" si="131"/>
        <v>0.16980362381363245</v>
      </c>
      <c r="E173" s="9">
        <f>$D171+$E171</f>
        <v>0.10928310612597064</v>
      </c>
      <c r="F173" s="10">
        <f t="shared" si="124"/>
        <v>0.18437470463042852</v>
      </c>
      <c r="G173" s="10">
        <f>F173*1.5</f>
        <v>0.27656205694564279</v>
      </c>
      <c r="H173" s="10">
        <f t="shared" si="133"/>
        <v>0.70416863690082654</v>
      </c>
      <c r="K173">
        <f t="shared" ref="K173" si="145">L173*60</f>
        <v>7200</v>
      </c>
      <c r="L173" s="5">
        <v>120</v>
      </c>
      <c r="M173" s="8">
        <f t="shared" si="135"/>
        <v>0.10166695427092322</v>
      </c>
      <c r="N173" s="9">
        <f t="shared" si="136"/>
        <v>0.10634671268334769</v>
      </c>
      <c r="O173" s="10">
        <f t="shared" si="126"/>
        <v>0.11584651596203625</v>
      </c>
      <c r="P173" s="10">
        <f>O173*1.5</f>
        <v>0.17376977394305437</v>
      </c>
      <c r="Q173" s="10">
        <f t="shared" si="137"/>
        <v>0.44244400769732273</v>
      </c>
      <c r="T173">
        <f t="shared" ref="T173" si="146">U173*60</f>
        <v>7200</v>
      </c>
      <c r="U173" s="5">
        <v>120</v>
      </c>
      <c r="V173" s="8">
        <f t="shared" si="139"/>
        <v>0.18042174288179463</v>
      </c>
      <c r="W173" s="9">
        <f t="shared" si="140"/>
        <v>0.26004072476272644</v>
      </c>
      <c r="X173" s="10">
        <f t="shared" si="128"/>
        <v>0.21509383951682481</v>
      </c>
      <c r="Y173" s="10">
        <f>X173*1.5</f>
        <v>0.32264075927523722</v>
      </c>
      <c r="Z173" s="10">
        <f t="shared" si="141"/>
        <v>0.82149195076367809</v>
      </c>
    </row>
    <row r="174" spans="2:26" x14ac:dyDescent="0.3">
      <c r="E174" s="11" t="s">
        <v>31</v>
      </c>
      <c r="F174">
        <f>SLOPE(G169:G173,B169:B173)</f>
        <v>4.4663909781116791E-5</v>
      </c>
      <c r="N174" s="11" t="s">
        <v>31</v>
      </c>
      <c r="O174">
        <f>SLOPE(P170:P173,K170:K173)</f>
        <v>2.9244864730131338E-5</v>
      </c>
      <c r="W174" s="11" t="s">
        <v>31</v>
      </c>
      <c r="X174">
        <f>SLOPE(Y169:Y173,T169:T173)</f>
        <v>4.55891617621957E-5</v>
      </c>
    </row>
    <row r="175" spans="2:26" ht="16.2" x14ac:dyDescent="0.35">
      <c r="B175" t="s">
        <v>32</v>
      </c>
    </row>
    <row r="176" spans="2:26" ht="16.2" x14ac:dyDescent="0.35">
      <c r="B176" t="s">
        <v>33</v>
      </c>
    </row>
    <row r="177" spans="2:11" ht="16.2" x14ac:dyDescent="0.35">
      <c r="B177" t="s">
        <v>34</v>
      </c>
    </row>
    <row r="178" spans="2:11" x14ac:dyDescent="0.3">
      <c r="B178" t="s">
        <v>35</v>
      </c>
    </row>
    <row r="179" spans="2:11" ht="16.2" x14ac:dyDescent="0.35">
      <c r="B179" t="s">
        <v>36</v>
      </c>
    </row>
    <row r="181" spans="2:11" s="12" customFormat="1" x14ac:dyDescent="0.3"/>
    <row r="182" spans="2:11" x14ac:dyDescent="0.3">
      <c r="C182" s="2"/>
      <c r="D182" s="2"/>
      <c r="E182" s="2"/>
      <c r="F182" s="2"/>
      <c r="G182" s="2"/>
      <c r="H182" s="2"/>
      <c r="I182" s="2"/>
    </row>
    <row r="183" spans="2:11" x14ac:dyDescent="0.3">
      <c r="C183" t="s">
        <v>15</v>
      </c>
      <c r="D183" t="s">
        <v>14</v>
      </c>
    </row>
    <row r="185" spans="2:11" x14ac:dyDescent="0.3">
      <c r="C185" t="s">
        <v>7</v>
      </c>
      <c r="D185" t="s">
        <v>1</v>
      </c>
      <c r="E185" t="s">
        <v>0</v>
      </c>
    </row>
    <row r="186" spans="2:11" x14ac:dyDescent="0.3">
      <c r="E186">
        <v>1</v>
      </c>
      <c r="F186">
        <v>2</v>
      </c>
      <c r="G186">
        <v>3</v>
      </c>
      <c r="H186" t="s">
        <v>2</v>
      </c>
      <c r="I186" t="s">
        <v>3</v>
      </c>
      <c r="J186" t="s">
        <v>4</v>
      </c>
      <c r="K186" t="s">
        <v>5</v>
      </c>
    </row>
    <row r="187" spans="2:11" x14ac:dyDescent="0.3">
      <c r="C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2:11" x14ac:dyDescent="0.3">
      <c r="C188">
        <v>15</v>
      </c>
      <c r="E188">
        <v>2.3078099999999999</v>
      </c>
      <c r="F188">
        <v>1.3304499999999999</v>
      </c>
      <c r="G188">
        <v>3.33073</v>
      </c>
      <c r="H188">
        <f>AVERAGE(E188:G188)</f>
        <v>2.3229966666666666</v>
      </c>
      <c r="I188">
        <f>STDEV(E188:G188)</f>
        <v>1.000226472221833</v>
      </c>
      <c r="J188">
        <f>I188/H188</f>
        <v>0.43057593950708772</v>
      </c>
      <c r="K188">
        <f>J188*100</f>
        <v>43.057593950708771</v>
      </c>
    </row>
    <row r="189" spans="2:11" x14ac:dyDescent="0.3">
      <c r="C189">
        <v>30</v>
      </c>
      <c r="E189">
        <v>2.9620799999999998</v>
      </c>
      <c r="F189">
        <v>2.6265100000000001</v>
      </c>
      <c r="G189">
        <v>5.1570900000000002</v>
      </c>
      <c r="H189">
        <f t="shared" ref="H189:H190" si="147">AVERAGE(E189:G189)</f>
        <v>3.5818933333333334</v>
      </c>
      <c r="I189">
        <f t="shared" ref="I189:I190" si="148">STDEV(E189:G189)</f>
        <v>1.3744399623968069</v>
      </c>
      <c r="J189">
        <f t="shared" ref="J189:J190" si="149">I189/H189</f>
        <v>0.38371884210123702</v>
      </c>
      <c r="K189">
        <f t="shared" ref="K189:K190" si="150">J189*100</f>
        <v>38.371884210123703</v>
      </c>
    </row>
    <row r="190" spans="2:11" x14ac:dyDescent="0.3">
      <c r="C190">
        <v>60</v>
      </c>
      <c r="E190">
        <v>4.8806799999999999</v>
      </c>
      <c r="F190">
        <v>4.9775499999999999</v>
      </c>
      <c r="G190">
        <v>6.6280799999999997</v>
      </c>
      <c r="H190">
        <f t="shared" si="147"/>
        <v>5.4954366666666665</v>
      </c>
      <c r="I190">
        <f t="shared" si="148"/>
        <v>0.98209298930057276</v>
      </c>
      <c r="J190">
        <f t="shared" si="149"/>
        <v>0.17871063736528783</v>
      </c>
      <c r="K190">
        <f t="shared" si="150"/>
        <v>17.871063736528782</v>
      </c>
    </row>
    <row r="191" spans="2:11" x14ac:dyDescent="0.3">
      <c r="C191">
        <v>90</v>
      </c>
      <c r="E191">
        <v>8.9433399999999992</v>
      </c>
      <c r="F191">
        <v>8.1532699999999991</v>
      </c>
      <c r="G191">
        <v>10.33531</v>
      </c>
      <c r="H191">
        <f t="shared" ref="H191:H192" si="151">AVERAGE(E191:G191)</f>
        <v>9.1439733333333333</v>
      </c>
      <c r="I191">
        <f t="shared" ref="I191:I192" si="152">STDEV(E191:G191)</f>
        <v>1.1047691800703594</v>
      </c>
      <c r="J191">
        <f t="shared" ref="J191:J192" si="153">I191/H191</f>
        <v>0.12081937903767138</v>
      </c>
      <c r="K191">
        <f t="shared" ref="K191:K192" si="154">J191*100</f>
        <v>12.081937903767139</v>
      </c>
    </row>
    <row r="192" spans="2:11" x14ac:dyDescent="0.3">
      <c r="C192">
        <v>120</v>
      </c>
      <c r="E192">
        <v>13.128830000000001</v>
      </c>
      <c r="F192">
        <v>12.30331</v>
      </c>
      <c r="G192">
        <v>16.03105</v>
      </c>
      <c r="H192">
        <f t="shared" si="151"/>
        <v>13.821063333333333</v>
      </c>
      <c r="I192">
        <f t="shared" si="152"/>
        <v>1.9579074589299124</v>
      </c>
      <c r="J192">
        <f t="shared" si="153"/>
        <v>0.14166113067493691</v>
      </c>
      <c r="K192">
        <f t="shared" si="154"/>
        <v>14.16611306749369</v>
      </c>
    </row>
    <row r="193" spans="2:28" x14ac:dyDescent="0.3">
      <c r="X193" s="26" t="s">
        <v>13</v>
      </c>
      <c r="Y193" s="26"/>
      <c r="Z193" s="26"/>
      <c r="AA193" s="26"/>
      <c r="AB193" s="26"/>
    </row>
    <row r="194" spans="2:28" x14ac:dyDescent="0.3">
      <c r="C194">
        <v>15</v>
      </c>
      <c r="E194">
        <f>(E188-0.8712)/28.936</f>
        <v>4.9647843516726568E-2</v>
      </c>
      <c r="F194">
        <f t="shared" ref="F194:G194" si="155">(F188-0.8712)/28.936</f>
        <v>1.5871233066076858E-2</v>
      </c>
      <c r="G194">
        <f t="shared" si="155"/>
        <v>8.4998963229195465E-2</v>
      </c>
      <c r="H194">
        <f t="shared" ref="H194:H199" si="156">AVERAGE(E194:G194)</f>
        <v>5.0172679937332966E-2</v>
      </c>
      <c r="I194">
        <f t="shared" ref="I194" si="157">STDEV(E194:G194)</f>
        <v>3.4566853477392613E-2</v>
      </c>
      <c r="J194">
        <f t="shared" ref="J194" si="158">I194/H194</f>
        <v>0.68895768614647546</v>
      </c>
      <c r="K194">
        <f t="shared" ref="K194" si="159">J194*100</f>
        <v>68.895768614647551</v>
      </c>
      <c r="X194">
        <v>1</v>
      </c>
      <c r="Y194">
        <v>2</v>
      </c>
      <c r="Z194">
        <v>3</v>
      </c>
      <c r="AA194" t="s">
        <v>2</v>
      </c>
      <c r="AB194" t="s">
        <v>3</v>
      </c>
    </row>
    <row r="195" spans="2:28" x14ac:dyDescent="0.3">
      <c r="C195">
        <v>30</v>
      </c>
      <c r="E195">
        <f t="shared" ref="E195:G195" si="160">(E189-0.8712)/28.936</f>
        <v>7.2258777992811718E-2</v>
      </c>
      <c r="F195">
        <f t="shared" si="160"/>
        <v>6.0661805363560965E-2</v>
      </c>
      <c r="G195">
        <f t="shared" si="160"/>
        <v>0.14811618744816146</v>
      </c>
      <c r="H195">
        <f t="shared" ref="H195:H198" si="161">AVERAGE(E195:G195)</f>
        <v>9.367892360151138E-2</v>
      </c>
      <c r="I195">
        <f t="shared" ref="I195:I198" si="162">STDEV(E195:G195)</f>
        <v>4.7499307519933844E-2</v>
      </c>
      <c r="J195">
        <f t="shared" ref="J195:J198" si="163">I195/H195</f>
        <v>0.50704369450256481</v>
      </c>
      <c r="K195">
        <f t="shared" ref="K195:K198" si="164">J195*100</f>
        <v>50.704369450256479</v>
      </c>
      <c r="W195" s="4" t="s">
        <v>41</v>
      </c>
      <c r="X195">
        <f>H225*(1/(1.12*L241))</f>
        <v>4.5532262345608001E-6</v>
      </c>
      <c r="Y195">
        <f>Q225*(1/(1.12*L241))</f>
        <v>4.1002165847969167E-6</v>
      </c>
      <c r="Z195">
        <f>Z225*(1/(1.12*L241))</f>
        <v>5.3143522956299288E-6</v>
      </c>
      <c r="AA195" s="13">
        <f>AVERAGE(X195:Z195)</f>
        <v>4.6559317049958816E-6</v>
      </c>
      <c r="AB195">
        <f>STDEV(X195:Z195)</f>
        <v>6.1354925745449691E-7</v>
      </c>
    </row>
    <row r="196" spans="2:28" x14ac:dyDescent="0.3">
      <c r="C196">
        <v>60</v>
      </c>
      <c r="E196">
        <f t="shared" ref="E196:G196" si="165">(E190-0.8712)/28.936</f>
        <v>0.13856372684545204</v>
      </c>
      <c r="F196">
        <f t="shared" si="165"/>
        <v>0.14191145977329278</v>
      </c>
      <c r="G196">
        <f t="shared" si="165"/>
        <v>0.19895217030688414</v>
      </c>
      <c r="H196">
        <f t="shared" si="161"/>
        <v>0.15980911897520966</v>
      </c>
      <c r="I196">
        <f t="shared" si="162"/>
        <v>3.3940177954816554E-2</v>
      </c>
      <c r="J196">
        <f t="shared" si="163"/>
        <v>0.21237948230026543</v>
      </c>
      <c r="K196">
        <f t="shared" si="164"/>
        <v>21.237948230026543</v>
      </c>
    </row>
    <row r="197" spans="2:28" x14ac:dyDescent="0.3">
      <c r="C197">
        <v>90</v>
      </c>
      <c r="E197">
        <f t="shared" ref="E197:G197" si="166">(E191-0.8712)/28.936</f>
        <v>0.27896530273707487</v>
      </c>
      <c r="F197">
        <f t="shared" si="166"/>
        <v>0.25166125241913184</v>
      </c>
      <c r="G197">
        <f t="shared" si="166"/>
        <v>0.3270704312966547</v>
      </c>
      <c r="H197">
        <f t="shared" si="161"/>
        <v>0.28589899548428716</v>
      </c>
      <c r="I197">
        <f t="shared" si="162"/>
        <v>3.8179747721535762E-2</v>
      </c>
      <c r="J197">
        <f t="shared" si="163"/>
        <v>0.1335427837263391</v>
      </c>
      <c r="K197">
        <f t="shared" si="164"/>
        <v>13.35427837263391</v>
      </c>
    </row>
    <row r="198" spans="2:28" x14ac:dyDescent="0.3">
      <c r="C198">
        <v>120</v>
      </c>
      <c r="E198">
        <f t="shared" ref="E198:G198" si="167">(E192-0.8712)/28.936</f>
        <v>0.42361176389272881</v>
      </c>
      <c r="F198">
        <f t="shared" si="167"/>
        <v>0.39508259607409457</v>
      </c>
      <c r="G198">
        <f t="shared" si="167"/>
        <v>0.52390966270389827</v>
      </c>
      <c r="H198">
        <f t="shared" si="161"/>
        <v>0.4475346742235739</v>
      </c>
      <c r="I198">
        <f t="shared" si="162"/>
        <v>6.7663376379938911E-2</v>
      </c>
      <c r="J198">
        <f t="shared" si="163"/>
        <v>0.15119136075283515</v>
      </c>
      <c r="K198">
        <f t="shared" si="164"/>
        <v>15.119136075283516</v>
      </c>
      <c r="V198" s="16"/>
      <c r="W198" s="16"/>
    </row>
    <row r="199" spans="2:28" x14ac:dyDescent="0.3">
      <c r="H199" t="e">
        <f t="shared" si="156"/>
        <v>#DIV/0!</v>
      </c>
      <c r="I199" t="e">
        <f t="shared" ref="I199" si="168">STDEV(E199:G199)</f>
        <v>#DIV/0!</v>
      </c>
      <c r="J199" t="e">
        <f t="shared" ref="J199" si="169">I199/H199</f>
        <v>#DIV/0!</v>
      </c>
      <c r="K199" t="e">
        <f t="shared" ref="K199" si="170">J199*100</f>
        <v>#DIV/0!</v>
      </c>
      <c r="V199" s="22"/>
      <c r="W199" s="16"/>
    </row>
    <row r="200" spans="2:28" x14ac:dyDescent="0.3">
      <c r="X200" s="26" t="s">
        <v>29</v>
      </c>
      <c r="Y200" s="26"/>
    </row>
    <row r="201" spans="2:28" x14ac:dyDescent="0.3">
      <c r="W201" s="4" t="s">
        <v>24</v>
      </c>
      <c r="X201" t="s">
        <v>45</v>
      </c>
      <c r="Y201" t="s">
        <v>3</v>
      </c>
    </row>
    <row r="202" spans="2:28" x14ac:dyDescent="0.3">
      <c r="W202">
        <v>0</v>
      </c>
      <c r="X202" s="21">
        <f>AVERAGE(I219,R219,AA219)</f>
        <v>0</v>
      </c>
      <c r="Y202" s="21">
        <f>STDEV(I219,R219,AA219)</f>
        <v>0</v>
      </c>
    </row>
    <row r="203" spans="2:28" x14ac:dyDescent="0.3">
      <c r="J203" s="26"/>
      <c r="K203" s="26"/>
      <c r="W203">
        <v>15</v>
      </c>
      <c r="X203" s="21">
        <f t="shared" ref="X203:X207" si="171">AVERAGE(I220,R220,AA220)</f>
        <v>0.10034535987466593</v>
      </c>
      <c r="Y203" s="21">
        <f t="shared" ref="Y203:Y207" si="172">STDEV(I220,R220,AA220)</f>
        <v>6.9133706954785226E-2</v>
      </c>
    </row>
    <row r="204" spans="2:28" x14ac:dyDescent="0.3">
      <c r="B204" t="s">
        <v>43</v>
      </c>
      <c r="E204">
        <v>1</v>
      </c>
      <c r="F204">
        <v>2</v>
      </c>
      <c r="G204">
        <v>3</v>
      </c>
      <c r="H204" t="s">
        <v>2</v>
      </c>
      <c r="I204" t="s">
        <v>3</v>
      </c>
      <c r="W204">
        <v>30</v>
      </c>
      <c r="X204" s="21">
        <f>AVERAGE(I221,R221,AA221)</f>
        <v>0.20742691917795594</v>
      </c>
      <c r="Y204" s="21">
        <f t="shared" si="172"/>
        <v>0.10792411822468678</v>
      </c>
    </row>
    <row r="205" spans="2:28" x14ac:dyDescent="0.3">
      <c r="C205">
        <f>C187</f>
        <v>0</v>
      </c>
      <c r="E205">
        <v>0</v>
      </c>
      <c r="F205">
        <v>0</v>
      </c>
      <c r="G205">
        <v>0</v>
      </c>
      <c r="H205">
        <v>0</v>
      </c>
      <c r="I205">
        <v>0</v>
      </c>
      <c r="W205">
        <v>60</v>
      </c>
      <c r="X205" s="21">
        <f t="shared" si="171"/>
        <v>0.37715887936595704</v>
      </c>
      <c r="Y205" s="21">
        <f t="shared" si="172"/>
        <v>9.8885532692020398E-2</v>
      </c>
    </row>
    <row r="206" spans="2:28" x14ac:dyDescent="0.3">
      <c r="C206">
        <f>C188</f>
        <v>15</v>
      </c>
      <c r="E206">
        <f>E194*4</f>
        <v>0.19859137406690627</v>
      </c>
      <c r="F206">
        <f t="shared" ref="F206:G206" si="173">F194*4</f>
        <v>6.3484932264307431E-2</v>
      </c>
      <c r="G206">
        <f t="shared" si="173"/>
        <v>0.33999585291678186</v>
      </c>
      <c r="H206">
        <f>AVERAGE(E206:G206)</f>
        <v>0.20069071974933186</v>
      </c>
      <c r="I206">
        <f>STDEV(E206:G206)</f>
        <v>0.13826741390957045</v>
      </c>
      <c r="W206">
        <v>90</v>
      </c>
      <c r="X206" s="21">
        <f t="shared" si="171"/>
        <v>0.69326227997419598</v>
      </c>
      <c r="Y206" s="21">
        <f t="shared" si="172"/>
        <v>0.12117351680249551</v>
      </c>
    </row>
    <row r="207" spans="2:28" x14ac:dyDescent="0.3">
      <c r="C207">
        <f>C189</f>
        <v>30</v>
      </c>
      <c r="E207">
        <f>E195*4</f>
        <v>0.28903511197124687</v>
      </c>
      <c r="F207">
        <f>F195*4</f>
        <v>0.24264722145424386</v>
      </c>
      <c r="G207">
        <f>G195*4</f>
        <v>0.59246474979264585</v>
      </c>
      <c r="H207">
        <f t="shared" ref="H207:H208" si="174">AVERAGE(E207:G207)</f>
        <v>0.37471569440604552</v>
      </c>
      <c r="I207">
        <f t="shared" ref="I207:I208" si="175">STDEV(E207:G207)</f>
        <v>0.18999723007973537</v>
      </c>
      <c r="W207">
        <v>120</v>
      </c>
      <c r="X207" s="21">
        <f t="shared" si="171"/>
        <v>1.1308932356464843</v>
      </c>
      <c r="Y207" s="21">
        <f t="shared" si="172"/>
        <v>0.19567676107753507</v>
      </c>
    </row>
    <row r="208" spans="2:28" x14ac:dyDescent="0.3">
      <c r="C208">
        <f>C190</f>
        <v>60</v>
      </c>
      <c r="E208">
        <f>E196*4</f>
        <v>0.55425490738180816</v>
      </c>
      <c r="F208">
        <f>F196*4</f>
        <v>0.56764583909317112</v>
      </c>
      <c r="G208">
        <f>G196*4</f>
        <v>0.79580868122753656</v>
      </c>
      <c r="H208">
        <f t="shared" si="174"/>
        <v>0.63923647590083865</v>
      </c>
      <c r="I208">
        <f t="shared" si="175"/>
        <v>0.13576071181926622</v>
      </c>
      <c r="X208" t="s">
        <v>46</v>
      </c>
      <c r="Y208" s="25">
        <f>AVERAGE(H225,Q225,Z225)</f>
        <v>2.0937065452236863E-4</v>
      </c>
    </row>
    <row r="209" spans="3:28" x14ac:dyDescent="0.3">
      <c r="C209">
        <v>90</v>
      </c>
      <c r="E209">
        <f t="shared" ref="E209:G209" si="176">E197*4</f>
        <v>1.1158612109482995</v>
      </c>
      <c r="F209">
        <f t="shared" si="176"/>
        <v>1.0066450096765274</v>
      </c>
      <c r="G209">
        <f t="shared" si="176"/>
        <v>1.3082817251866188</v>
      </c>
      <c r="H209">
        <f t="shared" ref="H209:H210" si="177">AVERAGE(E209:G209)</f>
        <v>1.1435959819371486</v>
      </c>
      <c r="I209">
        <f t="shared" ref="I209:I210" si="178">STDEV(E209:G209)</f>
        <v>0.15271899088614305</v>
      </c>
    </row>
    <row r="210" spans="3:28" x14ac:dyDescent="0.3">
      <c r="C210">
        <f>C192</f>
        <v>120</v>
      </c>
      <c r="E210">
        <f t="shared" ref="E210:G210" si="179">E198*4</f>
        <v>1.6944470555709152</v>
      </c>
      <c r="F210">
        <f t="shared" si="179"/>
        <v>1.5803303842963783</v>
      </c>
      <c r="G210">
        <f t="shared" si="179"/>
        <v>2.0956386508155931</v>
      </c>
      <c r="H210">
        <f t="shared" si="177"/>
        <v>1.7901386968942956</v>
      </c>
      <c r="I210">
        <f t="shared" si="178"/>
        <v>0.27065350551975564</v>
      </c>
    </row>
    <row r="214" spans="3:28" ht="16.2" x14ac:dyDescent="0.35">
      <c r="D214" s="4"/>
      <c r="E214" s="4" t="s">
        <v>18</v>
      </c>
      <c r="F214" s="4" t="s">
        <v>19</v>
      </c>
      <c r="H214" t="s">
        <v>20</v>
      </c>
      <c r="M214" s="4"/>
      <c r="N214" s="4" t="s">
        <v>18</v>
      </c>
      <c r="O214" s="4" t="s">
        <v>19</v>
      </c>
      <c r="Q214" t="s">
        <v>20</v>
      </c>
      <c r="V214" s="4"/>
      <c r="W214" s="4" t="s">
        <v>18</v>
      </c>
      <c r="X214" s="4" t="s">
        <v>19</v>
      </c>
      <c r="Z214" t="s">
        <v>20</v>
      </c>
    </row>
    <row r="215" spans="3:28" x14ac:dyDescent="0.3">
      <c r="D215" s="5"/>
      <c r="E215" s="5">
        <v>0.5</v>
      </c>
      <c r="F215" s="5">
        <v>0.1</v>
      </c>
      <c r="G215" s="17"/>
      <c r="H215" s="17">
        <v>10000</v>
      </c>
      <c r="I215" s="17"/>
      <c r="J215" s="17"/>
      <c r="M215" s="5"/>
      <c r="N215" s="5">
        <v>0.5</v>
      </c>
      <c r="O215" s="5">
        <v>0.1</v>
      </c>
      <c r="P215" s="20"/>
      <c r="Q215" s="20">
        <v>10000</v>
      </c>
      <c r="R215" s="20"/>
      <c r="S215" s="20"/>
      <c r="V215" s="5"/>
      <c r="W215" s="5">
        <v>0.5</v>
      </c>
      <c r="X215" s="5">
        <v>0.1</v>
      </c>
      <c r="Y215" s="20"/>
      <c r="Z215" s="20">
        <v>10000</v>
      </c>
      <c r="AA215" s="20"/>
      <c r="AB215" s="20"/>
    </row>
    <row r="216" spans="3:28" x14ac:dyDescent="0.3">
      <c r="D216" s="4"/>
      <c r="E216" s="6" t="s">
        <v>21</v>
      </c>
      <c r="F216" s="6" t="s">
        <v>21</v>
      </c>
      <c r="G216" s="17"/>
      <c r="H216" s="7" t="s">
        <v>22</v>
      </c>
      <c r="I216" s="17"/>
      <c r="J216" s="17"/>
      <c r="M216" s="4"/>
      <c r="N216" s="6" t="s">
        <v>21</v>
      </c>
      <c r="O216" s="6" t="s">
        <v>21</v>
      </c>
      <c r="P216" s="20"/>
      <c r="Q216" s="7" t="s">
        <v>22</v>
      </c>
      <c r="R216" s="20"/>
      <c r="S216" s="20"/>
      <c r="V216" s="4"/>
      <c r="W216" s="6" t="s">
        <v>21</v>
      </c>
      <c r="X216" s="6" t="s">
        <v>21</v>
      </c>
      <c r="Y216" s="20"/>
      <c r="Z216" s="7" t="s">
        <v>22</v>
      </c>
      <c r="AA216" s="20"/>
      <c r="AB216" s="20"/>
    </row>
    <row r="217" spans="3:28" x14ac:dyDescent="0.3">
      <c r="D217" s="17"/>
      <c r="E217" s="17"/>
      <c r="F217" s="4" t="s">
        <v>23</v>
      </c>
      <c r="G217" s="17"/>
      <c r="H217" s="17"/>
      <c r="I217" s="17"/>
      <c r="J217" s="17"/>
      <c r="M217" s="20"/>
      <c r="N217" s="20"/>
      <c r="O217" s="4" t="s">
        <v>23</v>
      </c>
      <c r="P217" s="20"/>
      <c r="Q217" s="20"/>
      <c r="R217" s="20"/>
      <c r="S217" s="20"/>
      <c r="V217" s="20"/>
      <c r="W217" s="20"/>
      <c r="X217" s="4" t="s">
        <v>23</v>
      </c>
      <c r="Y217" s="20"/>
      <c r="Z217" s="20"/>
      <c r="AA217" s="20"/>
      <c r="AB217" s="20"/>
    </row>
    <row r="218" spans="3:28" x14ac:dyDescent="0.3">
      <c r="D218" s="4" t="s">
        <v>24</v>
      </c>
      <c r="E218" s="4" t="s">
        <v>25</v>
      </c>
      <c r="F218" t="s">
        <v>26</v>
      </c>
      <c r="G218" s="4" t="s">
        <v>27</v>
      </c>
      <c r="H218" s="4" t="s">
        <v>28</v>
      </c>
      <c r="I218" s="4" t="s">
        <v>29</v>
      </c>
      <c r="J218" s="4" t="s">
        <v>30</v>
      </c>
      <c r="M218" s="4" t="s">
        <v>24</v>
      </c>
      <c r="N218" s="4" t="s">
        <v>25</v>
      </c>
      <c r="O218" t="s">
        <v>26</v>
      </c>
      <c r="P218" s="4" t="s">
        <v>27</v>
      </c>
      <c r="Q218" s="4" t="s">
        <v>28</v>
      </c>
      <c r="R218" s="4" t="s">
        <v>29</v>
      </c>
      <c r="S218" s="4" t="s">
        <v>30</v>
      </c>
      <c r="V218" s="4" t="s">
        <v>24</v>
      </c>
      <c r="W218" s="4" t="s">
        <v>25</v>
      </c>
      <c r="X218" t="s">
        <v>26</v>
      </c>
      <c r="Y218" s="4" t="s">
        <v>27</v>
      </c>
      <c r="Z218" s="4" t="s">
        <v>28</v>
      </c>
      <c r="AA218" s="4" t="s">
        <v>29</v>
      </c>
      <c r="AB218" s="4" t="s">
        <v>30</v>
      </c>
    </row>
    <row r="219" spans="3:28" x14ac:dyDescent="0.3">
      <c r="D219">
        <v>0</v>
      </c>
      <c r="E219" s="5">
        <v>0</v>
      </c>
      <c r="F219" s="8">
        <v>0</v>
      </c>
      <c r="G219" s="9">
        <v>0</v>
      </c>
      <c r="H219" s="10">
        <f>((0.5*F219)+(0.1*G219))/0.5</f>
        <v>0</v>
      </c>
      <c r="I219" s="10">
        <f>H219*0.5</f>
        <v>0</v>
      </c>
      <c r="J219" s="10">
        <f>(I219/41.13680352)*100</f>
        <v>0</v>
      </c>
      <c r="M219">
        <v>0</v>
      </c>
      <c r="N219" s="5">
        <v>0</v>
      </c>
      <c r="O219" s="8">
        <v>0</v>
      </c>
      <c r="P219" s="9">
        <v>0</v>
      </c>
      <c r="Q219" s="10">
        <f>((0.5*O219)+(0.1*P219))/0.5</f>
        <v>0</v>
      </c>
      <c r="R219" s="10">
        <f>Q219*0.5</f>
        <v>0</v>
      </c>
      <c r="S219" s="10">
        <f>(R219/41.13680352)*100</f>
        <v>0</v>
      </c>
      <c r="V219">
        <v>0</v>
      </c>
      <c r="W219" s="5">
        <v>0</v>
      </c>
      <c r="X219" s="8">
        <v>0</v>
      </c>
      <c r="Y219" s="9">
        <v>0</v>
      </c>
      <c r="Z219" s="10">
        <f>((0.5*X219)+(0.1*Y219))/0.5</f>
        <v>0</v>
      </c>
      <c r="AA219" s="10">
        <f>Z219*0.5</f>
        <v>0</v>
      </c>
      <c r="AB219" s="10">
        <f>(AA219/41.13680352)*100</f>
        <v>0</v>
      </c>
    </row>
    <row r="220" spans="3:28" x14ac:dyDescent="0.3">
      <c r="D220">
        <f>E220*60</f>
        <v>900</v>
      </c>
      <c r="E220" s="5">
        <v>15</v>
      </c>
      <c r="F220" s="8">
        <f>E206</f>
        <v>0.19859137406690627</v>
      </c>
      <c r="G220" s="9">
        <f>$F219+$G219</f>
        <v>0</v>
      </c>
      <c r="H220" s="10">
        <f t="shared" ref="H220:H222" si="180">((0.5*F220)+(0.1*G220))/0.5</f>
        <v>0.19859137406690627</v>
      </c>
      <c r="I220" s="10">
        <f t="shared" ref="I220:I222" si="181">H220*0.5</f>
        <v>9.9295687033453137E-2</v>
      </c>
      <c r="J220" s="10">
        <f t="shared" ref="J220:J222" si="182">(I220/41.13680352)*100</f>
        <v>0.24137919949268125</v>
      </c>
      <c r="M220">
        <f>N220*60</f>
        <v>900</v>
      </c>
      <c r="N220" s="5">
        <v>15</v>
      </c>
      <c r="O220" s="8">
        <f>F206</f>
        <v>6.3484932264307431E-2</v>
      </c>
      <c r="P220" s="9">
        <f>$O219+$P219</f>
        <v>0</v>
      </c>
      <c r="Q220" s="10">
        <f t="shared" ref="Q220:Q224" si="183">((0.5*O220)+(0.1*P220))/0.5</f>
        <v>6.3484932264307431E-2</v>
      </c>
      <c r="R220" s="10">
        <f t="shared" ref="R220:R224" si="184">Q220*0.5</f>
        <v>3.1742466132153715E-2</v>
      </c>
      <c r="S220" s="10">
        <f t="shared" ref="S220:S224" si="185">(R220/41.13680352)*100</f>
        <v>7.7163180937772857E-2</v>
      </c>
      <c r="V220">
        <f>W220*60</f>
        <v>900</v>
      </c>
      <c r="W220" s="5">
        <v>15</v>
      </c>
      <c r="X220" s="8">
        <f>G206</f>
        <v>0.33999585291678186</v>
      </c>
      <c r="Y220" s="9">
        <f>$X219+$Y219</f>
        <v>0</v>
      </c>
      <c r="Z220" s="10">
        <f t="shared" ref="Z220:Z224" si="186">((0.5*X220)+(0.1*Y220))/0.5</f>
        <v>0.33999585291678186</v>
      </c>
      <c r="AA220" s="10">
        <f t="shared" ref="AA220:AA224" si="187">Z220*0.5</f>
        <v>0.16999792645839093</v>
      </c>
      <c r="AB220" s="10">
        <f t="shared" ref="AB220:AB224" si="188">(AA220/41.13680352)*100</f>
        <v>0.41325020884459551</v>
      </c>
    </row>
    <row r="221" spans="3:28" x14ac:dyDescent="0.3">
      <c r="D221">
        <f t="shared" ref="D221:D224" si="189">E221*60</f>
        <v>1800</v>
      </c>
      <c r="E221" s="5">
        <v>30</v>
      </c>
      <c r="F221" s="8">
        <f t="shared" ref="F221:F224" si="190">E207</f>
        <v>0.28903511197124687</v>
      </c>
      <c r="G221" s="9">
        <f t="shared" ref="G221:G224" si="191">$F220+$G220</f>
        <v>0.19859137406690627</v>
      </c>
      <c r="H221" s="10">
        <f t="shared" si="180"/>
        <v>0.32875338678462812</v>
      </c>
      <c r="I221" s="10">
        <f t="shared" si="181"/>
        <v>0.16437669339231406</v>
      </c>
      <c r="J221" s="10">
        <f t="shared" si="182"/>
        <v>0.39958547900397012</v>
      </c>
      <c r="M221">
        <f t="shared" ref="M221:M222" si="192">N221*60</f>
        <v>1800</v>
      </c>
      <c r="N221" s="5">
        <v>30</v>
      </c>
      <c r="O221" s="8">
        <f t="shared" ref="O221:O224" si="193">F207</f>
        <v>0.24264722145424386</v>
      </c>
      <c r="P221" s="9">
        <f t="shared" ref="P221:P224" si="194">$O220+$P220</f>
        <v>6.3484932264307431E-2</v>
      </c>
      <c r="Q221" s="10">
        <f t="shared" si="183"/>
        <v>0.25534420790710533</v>
      </c>
      <c r="R221" s="10">
        <f t="shared" si="184"/>
        <v>0.12767210395355266</v>
      </c>
      <c r="S221" s="10">
        <f t="shared" si="185"/>
        <v>0.31035980686122272</v>
      </c>
      <c r="V221">
        <f t="shared" ref="V221:V222" si="195">W221*60</f>
        <v>1800</v>
      </c>
      <c r="W221" s="5">
        <v>30</v>
      </c>
      <c r="X221" s="8">
        <f t="shared" ref="X221:X224" si="196">G207</f>
        <v>0.59246474979264585</v>
      </c>
      <c r="Y221" s="9">
        <f t="shared" ref="Y221:Y224" si="197">$X220+$Y220</f>
        <v>0.33999585291678186</v>
      </c>
      <c r="Z221" s="10">
        <f t="shared" si="186"/>
        <v>0.66046392037600221</v>
      </c>
      <c r="AA221" s="10">
        <f t="shared" si="187"/>
        <v>0.33023196018800111</v>
      </c>
      <c r="AB221" s="10">
        <f t="shared" si="188"/>
        <v>0.80276524165872076</v>
      </c>
    </row>
    <row r="222" spans="3:28" x14ac:dyDescent="0.3">
      <c r="D222">
        <f t="shared" si="189"/>
        <v>3600</v>
      </c>
      <c r="E222" s="5">
        <v>60</v>
      </c>
      <c r="F222" s="8">
        <f t="shared" si="190"/>
        <v>0.55425490738180816</v>
      </c>
      <c r="G222" s="9">
        <f t="shared" si="191"/>
        <v>0.48762648603815317</v>
      </c>
      <c r="H222" s="10">
        <f t="shared" si="180"/>
        <v>0.65178020458943875</v>
      </c>
      <c r="I222" s="10">
        <f t="shared" si="181"/>
        <v>0.32589010229471937</v>
      </c>
      <c r="J222" s="10">
        <f t="shared" si="182"/>
        <v>0.79221056185436789</v>
      </c>
      <c r="M222">
        <f t="shared" si="192"/>
        <v>3600</v>
      </c>
      <c r="N222" s="5">
        <v>60</v>
      </c>
      <c r="O222" s="8">
        <f t="shared" si="193"/>
        <v>0.56764583909317112</v>
      </c>
      <c r="P222" s="9">
        <f t="shared" si="194"/>
        <v>0.30613215371855129</v>
      </c>
      <c r="Q222" s="10">
        <f t="shared" si="183"/>
        <v>0.62887226983688138</v>
      </c>
      <c r="R222" s="10">
        <f t="shared" si="184"/>
        <v>0.31443613491844069</v>
      </c>
      <c r="S222" s="10">
        <f t="shared" si="185"/>
        <v>0.76436696100018398</v>
      </c>
      <c r="V222">
        <f t="shared" si="195"/>
        <v>3600</v>
      </c>
      <c r="W222" s="5">
        <v>60</v>
      </c>
      <c r="X222" s="8">
        <f t="shared" si="196"/>
        <v>0.79580868122753656</v>
      </c>
      <c r="Y222" s="9">
        <f t="shared" si="197"/>
        <v>0.93246060270942777</v>
      </c>
      <c r="Z222" s="10">
        <f t="shared" si="186"/>
        <v>0.98230080176942214</v>
      </c>
      <c r="AA222" s="10">
        <f t="shared" si="187"/>
        <v>0.49115040088471107</v>
      </c>
      <c r="AB222" s="10">
        <f t="shared" si="188"/>
        <v>1.1939440084252591</v>
      </c>
    </row>
    <row r="223" spans="3:28" x14ac:dyDescent="0.3">
      <c r="D223">
        <v>5400</v>
      </c>
      <c r="E223" s="5">
        <v>90</v>
      </c>
      <c r="F223" s="8">
        <f t="shared" si="190"/>
        <v>1.1158612109482995</v>
      </c>
      <c r="G223" s="9">
        <f t="shared" si="191"/>
        <v>1.0418813934199613</v>
      </c>
      <c r="H223" s="10">
        <f t="shared" ref="H223:H224" si="198">((0.5*F223)+(0.1*G223))/0.5</f>
        <v>1.3242374896322917</v>
      </c>
      <c r="I223" s="10">
        <f t="shared" ref="I223:I224" si="199">H223*0.5</f>
        <v>0.66211874481614585</v>
      </c>
      <c r="J223" s="10">
        <f t="shared" ref="J223:J224" si="200">(I223/41.13680352)*100</f>
        <v>1.6095532179456657</v>
      </c>
      <c r="M223">
        <v>5400</v>
      </c>
      <c r="N223" s="5">
        <v>90</v>
      </c>
      <c r="O223" s="8">
        <f t="shared" si="193"/>
        <v>1.0066450096765274</v>
      </c>
      <c r="P223" s="9">
        <f t="shared" si="194"/>
        <v>0.87377799281172241</v>
      </c>
      <c r="Q223" s="10">
        <f t="shared" si="183"/>
        <v>1.1814006082388719</v>
      </c>
      <c r="R223" s="10">
        <f t="shared" si="184"/>
        <v>0.59070030411943597</v>
      </c>
      <c r="S223" s="10">
        <f t="shared" si="185"/>
        <v>1.4359411854454072</v>
      </c>
      <c r="V223">
        <v>5400</v>
      </c>
      <c r="W223" s="5">
        <v>90</v>
      </c>
      <c r="X223" s="8">
        <f t="shared" si="196"/>
        <v>1.3082817251866188</v>
      </c>
      <c r="Y223" s="9">
        <f t="shared" si="197"/>
        <v>1.7282692839369642</v>
      </c>
      <c r="Z223" s="10">
        <f t="shared" si="186"/>
        <v>1.6539355819740116</v>
      </c>
      <c r="AA223" s="10">
        <f t="shared" si="187"/>
        <v>0.82696779098700579</v>
      </c>
      <c r="AB223" s="10">
        <f t="shared" si="188"/>
        <v>2.0102869455691867</v>
      </c>
    </row>
    <row r="224" spans="3:28" x14ac:dyDescent="0.3">
      <c r="D224">
        <f t="shared" si="189"/>
        <v>7200</v>
      </c>
      <c r="E224" s="5">
        <v>120</v>
      </c>
      <c r="F224" s="8">
        <f t="shared" si="190"/>
        <v>1.6944470555709152</v>
      </c>
      <c r="G224" s="9">
        <f t="shared" si="191"/>
        <v>2.157742604368261</v>
      </c>
      <c r="H224" s="10">
        <f t="shared" si="198"/>
        <v>2.1259955764445673</v>
      </c>
      <c r="I224" s="10">
        <f t="shared" si="199"/>
        <v>1.0629977882222836</v>
      </c>
      <c r="J224" s="10">
        <f t="shared" si="200"/>
        <v>2.5840553890033595</v>
      </c>
      <c r="M224">
        <f t="shared" ref="M224" si="201">N224*60</f>
        <v>7200</v>
      </c>
      <c r="N224" s="5">
        <v>120</v>
      </c>
      <c r="O224" s="8">
        <f t="shared" si="193"/>
        <v>1.5803303842963783</v>
      </c>
      <c r="P224" s="9">
        <f t="shared" si="194"/>
        <v>1.8804230024882498</v>
      </c>
      <c r="Q224" s="10">
        <f t="shared" si="183"/>
        <v>1.9564149847940282</v>
      </c>
      <c r="R224" s="10">
        <f t="shared" si="184"/>
        <v>0.9782074923970141</v>
      </c>
      <c r="S224" s="10">
        <f t="shared" si="185"/>
        <v>2.3779375369343576</v>
      </c>
      <c r="V224">
        <f t="shared" ref="V224" si="202">W224*60</f>
        <v>7200</v>
      </c>
      <c r="W224" s="5">
        <v>120</v>
      </c>
      <c r="X224" s="8">
        <f t="shared" si="196"/>
        <v>2.0956386508155931</v>
      </c>
      <c r="Y224" s="9">
        <f t="shared" si="197"/>
        <v>3.036551009123583</v>
      </c>
      <c r="Z224" s="10">
        <f t="shared" si="186"/>
        <v>2.7029488526403096</v>
      </c>
      <c r="AA224" s="10">
        <f t="shared" si="187"/>
        <v>1.3514744263201548</v>
      </c>
      <c r="AB224" s="10">
        <f t="shared" si="188"/>
        <v>3.2853170656856978</v>
      </c>
    </row>
    <row r="225" spans="3:26" x14ac:dyDescent="0.3">
      <c r="G225" s="11" t="s">
        <v>31</v>
      </c>
      <c r="H225">
        <f>SLOPE(I222:I224,D222:D224)</f>
        <v>2.0475213497987894E-4</v>
      </c>
      <c r="P225" s="11" t="s">
        <v>31</v>
      </c>
      <c r="Q225">
        <f>SLOPE(R222:R224,M222:M224)</f>
        <v>1.8438093263293704E-4</v>
      </c>
      <c r="Y225" s="11" t="s">
        <v>31</v>
      </c>
      <c r="Z225">
        <f>SLOPE(AA222:AA224,V222:V224)</f>
        <v>2.3897889595428991E-4</v>
      </c>
    </row>
    <row r="226" spans="3:26" ht="16.2" x14ac:dyDescent="0.35">
      <c r="D226" t="s">
        <v>32</v>
      </c>
    </row>
    <row r="227" spans="3:26" ht="16.2" x14ac:dyDescent="0.35">
      <c r="D227" t="s">
        <v>33</v>
      </c>
    </row>
    <row r="228" spans="3:26" ht="16.2" x14ac:dyDescent="0.35">
      <c r="D228" t="s">
        <v>34</v>
      </c>
    </row>
    <row r="229" spans="3:26" x14ac:dyDescent="0.3">
      <c r="D229" t="s">
        <v>35</v>
      </c>
    </row>
    <row r="230" spans="3:26" ht="16.2" x14ac:dyDescent="0.35">
      <c r="D230" t="s">
        <v>36</v>
      </c>
    </row>
    <row r="232" spans="3:26" s="12" customFormat="1" x14ac:dyDescent="0.3"/>
    <row r="234" spans="3:26" x14ac:dyDescent="0.3">
      <c r="C234" t="s">
        <v>10</v>
      </c>
      <c r="H234" t="s">
        <v>2</v>
      </c>
      <c r="I234" t="s">
        <v>3</v>
      </c>
      <c r="K234" t="s">
        <v>37</v>
      </c>
      <c r="L234" t="s">
        <v>40</v>
      </c>
    </row>
    <row r="235" spans="3:26" x14ac:dyDescent="0.3">
      <c r="C235">
        <v>0</v>
      </c>
      <c r="E235">
        <v>286.09735000000001</v>
      </c>
      <c r="F235">
        <v>293.61038000000002</v>
      </c>
      <c r="G235">
        <v>287.98117000000002</v>
      </c>
      <c r="H235">
        <f t="shared" ref="H235:H236" si="203">AVERAGE(E235:G235)</f>
        <v>289.22963333333337</v>
      </c>
      <c r="I235">
        <f t="shared" ref="I235:I236" si="204">STDEV(E235:G235)</f>
        <v>3.9090152808902374</v>
      </c>
      <c r="K235">
        <f>(H235-0.8712)/28.936</f>
        <v>9.9653868307068496</v>
      </c>
      <c r="L235">
        <f>K235*4</f>
        <v>39.861547322827398</v>
      </c>
    </row>
    <row r="236" spans="3:26" x14ac:dyDescent="0.3">
      <c r="C236">
        <v>120</v>
      </c>
      <c r="E236">
        <v>262.15737999999999</v>
      </c>
      <c r="F236">
        <v>284.21158000000003</v>
      </c>
      <c r="G236">
        <v>289.60912999999999</v>
      </c>
      <c r="H236">
        <f t="shared" si="203"/>
        <v>278.65936333333337</v>
      </c>
      <c r="I236">
        <f t="shared" si="204"/>
        <v>14.543726377749053</v>
      </c>
      <c r="K236">
        <f t="shared" ref="K236:K242" si="205">(H236-0.8712)/28.936</f>
        <v>9.6000885863054108</v>
      </c>
      <c r="L236">
        <f>K236*4</f>
        <v>38.400354345221643</v>
      </c>
    </row>
    <row r="240" spans="3:26" x14ac:dyDescent="0.3">
      <c r="C240" t="s">
        <v>11</v>
      </c>
    </row>
    <row r="241" spans="3:12" x14ac:dyDescent="0.3">
      <c r="C241">
        <v>0</v>
      </c>
      <c r="E241">
        <v>562.10431000000005</v>
      </c>
      <c r="F241">
        <v>584.83794999999998</v>
      </c>
      <c r="G241">
        <v>598.36455999999998</v>
      </c>
      <c r="H241">
        <f t="shared" ref="H241:H242" si="206">AVERAGE(E241:G241)</f>
        <v>581.76894000000004</v>
      </c>
      <c r="I241">
        <f t="shared" ref="I241:I242" si="207">STDEV(E241:G241)</f>
        <v>18.323906496724398</v>
      </c>
      <c r="K241">
        <f t="shared" si="205"/>
        <v>20.075260575062206</v>
      </c>
      <c r="L241">
        <f>K241*2</f>
        <v>40.150521150124412</v>
      </c>
    </row>
    <row r="242" spans="3:12" x14ac:dyDescent="0.3">
      <c r="C242">
        <v>120</v>
      </c>
      <c r="E242">
        <v>548.88556000000005</v>
      </c>
      <c r="F242">
        <v>576.49048000000005</v>
      </c>
      <c r="G242">
        <v>546.13318000000004</v>
      </c>
      <c r="H242">
        <f t="shared" si="206"/>
        <v>557.16974000000005</v>
      </c>
      <c r="I242">
        <f t="shared" si="207"/>
        <v>16.788750535010042</v>
      </c>
      <c r="K242">
        <f t="shared" si="205"/>
        <v>19.225136162565661</v>
      </c>
      <c r="L242">
        <f>K242*2</f>
        <v>38.450272325131323</v>
      </c>
    </row>
    <row r="244" spans="3:12" x14ac:dyDescent="0.3">
      <c r="F244" s="1"/>
    </row>
    <row r="245" spans="3:12" x14ac:dyDescent="0.3">
      <c r="H245" t="s">
        <v>2</v>
      </c>
    </row>
    <row r="246" spans="3:12" x14ac:dyDescent="0.3">
      <c r="C246" t="s">
        <v>16</v>
      </c>
      <c r="D246" t="s">
        <v>17</v>
      </c>
      <c r="E246">
        <v>1466.0770299999999</v>
      </c>
      <c r="F246">
        <v>1466.2429199999999</v>
      </c>
      <c r="G246">
        <v>1464.87842</v>
      </c>
      <c r="H246">
        <f>AVERAGE(E246:G246)</f>
        <v>1465.73279</v>
      </c>
    </row>
    <row r="247" spans="3:12" x14ac:dyDescent="0.3">
      <c r="D247" t="s">
        <v>38</v>
      </c>
      <c r="E247">
        <f>(E246-0.8712)/28.936</f>
        <v>50.636087572573949</v>
      </c>
      <c r="F247">
        <f t="shared" ref="F247:G247" si="208">(F246-0.8712)/28.936</f>
        <v>50.641820569532754</v>
      </c>
      <c r="G247">
        <f t="shared" si="208"/>
        <v>50.594664777439867</v>
      </c>
      <c r="H247">
        <f t="shared" ref="H247:H248" si="209">AVERAGE(E247:G247)</f>
        <v>50.624190973182188</v>
      </c>
    </row>
    <row r="248" spans="3:12" x14ac:dyDescent="0.3">
      <c r="D248" t="s">
        <v>39</v>
      </c>
      <c r="E248">
        <f>E247/4</f>
        <v>12.659021893143487</v>
      </c>
      <c r="F248">
        <f t="shared" ref="F248:G248" si="210">F247/4</f>
        <v>12.660455142383189</v>
      </c>
      <c r="G248">
        <f t="shared" si="210"/>
        <v>12.648666194359967</v>
      </c>
      <c r="H248">
        <f t="shared" si="209"/>
        <v>12.656047743295547</v>
      </c>
    </row>
  </sheetData>
  <mergeCells count="12">
    <mergeCell ref="J16:K16"/>
    <mergeCell ref="J72:K72"/>
    <mergeCell ref="J145:K145"/>
    <mergeCell ref="J203:K203"/>
    <mergeCell ref="V19:W19"/>
    <mergeCell ref="X200:Y200"/>
    <mergeCell ref="X193:AB193"/>
    <mergeCell ref="V12:Z12"/>
    <mergeCell ref="X68:Y68"/>
    <mergeCell ref="X61:AB61"/>
    <mergeCell ref="V149:W149"/>
    <mergeCell ref="V142:Z14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9"/>
  <sheetViews>
    <sheetView tabSelected="1" workbookViewId="0">
      <selection activeCell="C11" sqref="C11"/>
    </sheetView>
  </sheetViews>
  <sheetFormatPr defaultColWidth="11" defaultRowHeight="15.6" x14ac:dyDescent="0.3"/>
  <cols>
    <col min="2" max="2" width="20" customWidth="1"/>
    <col min="7" max="10" width="12.19921875" bestFit="1" customWidth="1"/>
  </cols>
  <sheetData>
    <row r="4" spans="2:10" x14ac:dyDescent="0.3">
      <c r="B4" t="s">
        <v>47</v>
      </c>
      <c r="C4" s="26" t="s">
        <v>50</v>
      </c>
      <c r="D4" s="26"/>
      <c r="E4" t="s">
        <v>51</v>
      </c>
      <c r="G4" s="26" t="s">
        <v>13</v>
      </c>
      <c r="H4" s="26"/>
      <c r="I4" s="26" t="s">
        <v>14</v>
      </c>
      <c r="J4" s="26"/>
    </row>
    <row r="5" spans="2:10" x14ac:dyDescent="0.3">
      <c r="C5" t="s">
        <v>13</v>
      </c>
      <c r="D5" t="s">
        <v>14</v>
      </c>
      <c r="G5" t="s">
        <v>2</v>
      </c>
      <c r="H5" t="s">
        <v>3</v>
      </c>
      <c r="I5" t="s">
        <v>2</v>
      </c>
      <c r="J5" t="s">
        <v>3</v>
      </c>
    </row>
    <row r="6" spans="2:10" x14ac:dyDescent="0.3">
      <c r="B6" t="s">
        <v>6</v>
      </c>
      <c r="C6" t="s">
        <v>53</v>
      </c>
      <c r="D6" t="s">
        <v>57</v>
      </c>
      <c r="E6" s="21">
        <f>I6/G6</f>
        <v>1.1203361519057822</v>
      </c>
      <c r="G6">
        <f>Amlodipine!Y16</f>
        <v>8.2822498053999336E-6</v>
      </c>
      <c r="H6">
        <f>Amlodipine!Z16</f>
        <v>4.8132884166022943E-7</v>
      </c>
      <c r="I6">
        <f>Amlodipine!Y70</f>
        <v>9.2789038761041752E-6</v>
      </c>
      <c r="J6">
        <f>Amlodipine!Z70</f>
        <v>2.0777410447823648E-6</v>
      </c>
    </row>
    <row r="7" spans="2:10" x14ac:dyDescent="0.3">
      <c r="B7" t="s">
        <v>15</v>
      </c>
      <c r="C7" t="s">
        <v>54</v>
      </c>
      <c r="D7" t="s">
        <v>58</v>
      </c>
      <c r="E7" s="21">
        <f t="shared" ref="E7:E9" si="0">I7/G7</f>
        <v>4.804195068726548</v>
      </c>
      <c r="G7">
        <f>Atorv!Y16</f>
        <v>2.1060698035044745E-6</v>
      </c>
      <c r="H7">
        <f>Atorv!Z16</f>
        <v>1.1023775615354987E-6</v>
      </c>
      <c r="I7">
        <f>Atorv!Y68</f>
        <v>1.0117970164390086E-5</v>
      </c>
      <c r="J7">
        <f>Atorv!Z68</f>
        <v>7.4806124999013707E-7</v>
      </c>
    </row>
    <row r="8" spans="2:10" x14ac:dyDescent="0.3">
      <c r="B8" t="s">
        <v>48</v>
      </c>
      <c r="C8" t="s">
        <v>55</v>
      </c>
      <c r="D8" t="s">
        <v>59</v>
      </c>
      <c r="E8" s="21">
        <f t="shared" si="0"/>
        <v>1.0114201268141154</v>
      </c>
      <c r="G8">
        <f>'Amlodipine and Atorv Repeat'!Y14</f>
        <v>5.1117163038347773E-6</v>
      </c>
      <c r="H8">
        <f>'Amlodipine and Atorv Repeat'!Z14</f>
        <v>7.6351432405291537E-7</v>
      </c>
      <c r="I8">
        <f>'Amlodipine and Atorv Repeat'!AA63</f>
        <v>5.1700927522623513E-6</v>
      </c>
      <c r="J8">
        <f>'Amlodipine and Atorv Repeat'!AB63</f>
        <v>4.0716954029365863E-7</v>
      </c>
    </row>
    <row r="9" spans="2:10" x14ac:dyDescent="0.3">
      <c r="B9" t="s">
        <v>49</v>
      </c>
      <c r="C9" t="s">
        <v>56</v>
      </c>
      <c r="D9" t="s">
        <v>60</v>
      </c>
      <c r="E9" s="21">
        <f t="shared" si="0"/>
        <v>5.2184271673218463</v>
      </c>
      <c r="G9">
        <f>'Amlodipine and Atorv Repeat'!Y144</f>
        <v>8.9220977043651195E-7</v>
      </c>
      <c r="H9">
        <f>'Amlodipine and Atorv Repeat'!Z144</f>
        <v>2.0564372373633555E-7</v>
      </c>
      <c r="I9">
        <f>'Amlodipine and Atorv Repeat'!AA195</f>
        <v>4.6559317049958816E-6</v>
      </c>
      <c r="J9">
        <f>'Amlodipine and Atorv Repeat'!AB195</f>
        <v>6.1354925745449691E-7</v>
      </c>
    </row>
    <row r="14" spans="2:10" x14ac:dyDescent="0.3">
      <c r="C14" s="26"/>
      <c r="D14" s="26"/>
      <c r="G14" s="26"/>
      <c r="H14" s="26"/>
      <c r="I14" s="26"/>
      <c r="J14" s="26"/>
    </row>
    <row r="16" spans="2:10" x14ac:dyDescent="0.3">
      <c r="E16" s="21"/>
    </row>
    <row r="17" spans="5:5" x14ac:dyDescent="0.3">
      <c r="E17" s="21"/>
    </row>
    <row r="18" spans="5:5" x14ac:dyDescent="0.3">
      <c r="E18" s="21"/>
    </row>
    <row r="19" spans="5:5" x14ac:dyDescent="0.3">
      <c r="E19" s="21"/>
    </row>
  </sheetData>
  <mergeCells count="6">
    <mergeCell ref="C4:D4"/>
    <mergeCell ref="G4:H4"/>
    <mergeCell ref="I4:J4"/>
    <mergeCell ref="C14:D14"/>
    <mergeCell ref="G14:H14"/>
    <mergeCell ref="I14:J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Amlodipine DMEM</vt:lpstr>
      <vt:lpstr>Amlodipine</vt:lpstr>
      <vt:lpstr>Atorv</vt:lpstr>
      <vt:lpstr>Amlodipine and Atorv</vt:lpstr>
      <vt:lpstr>Amlodipine and Atorv Repeat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Dennison</dc:creator>
  <cp:lastModifiedBy>Tom Dennison</cp:lastModifiedBy>
  <cp:lastPrinted>2016-06-16T21:11:36Z</cp:lastPrinted>
  <dcterms:created xsi:type="dcterms:W3CDTF">2015-05-11T10:43:11Z</dcterms:created>
  <dcterms:modified xsi:type="dcterms:W3CDTF">2017-02-03T12:52:35Z</dcterms:modified>
</cp:coreProperties>
</file>