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Override4.xml" ContentType="application/vnd.openxmlformats-officedocument.themeOverrid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3.xml" ContentType="application/vnd.openxmlformats-officedocument.drawingml.chart+xml"/>
  <Override PartName="/xl/theme/themeOverride1.xml" ContentType="application/vnd.openxmlformats-officedocument.themeOverrid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8755" windowHeight="12600"/>
  </bookViews>
  <sheets>
    <sheet name="conv and rate" sheetId="3" r:id="rId1"/>
    <sheet name="size-area calculations" sheetId="2" r:id="rId2"/>
    <sheet name="error" sheetId="9" r:id="rId3"/>
    <sheet name="selectivity" sheetId="15" r:id="rId4"/>
  </sheets>
  <calcPr calcId="125725"/>
</workbook>
</file>

<file path=xl/calcChain.xml><?xml version="1.0" encoding="utf-8"?>
<calcChain xmlns="http://schemas.openxmlformats.org/spreadsheetml/2006/main">
  <c r="AX26" i="9"/>
  <c r="AX27"/>
  <c r="AX25"/>
  <c r="AW26"/>
  <c r="AW27"/>
  <c r="AW25"/>
  <c r="AV26"/>
  <c r="AV27"/>
  <c r="AV25"/>
  <c r="AU26"/>
  <c r="AU27"/>
  <c r="AU25"/>
  <c r="AT26"/>
  <c r="AT27"/>
  <c r="AT25"/>
  <c r="AS26"/>
  <c r="AS27"/>
  <c r="AS25"/>
  <c r="AR26"/>
  <c r="AR27"/>
  <c r="AR25"/>
  <c r="AX17"/>
  <c r="AX18"/>
  <c r="AX16"/>
  <c r="AW17"/>
  <c r="AW18"/>
  <c r="AW16"/>
  <c r="AV17"/>
  <c r="AV18"/>
  <c r="AV16"/>
  <c r="AU17"/>
  <c r="AU18"/>
  <c r="AU16"/>
  <c r="AT17"/>
  <c r="AT18"/>
  <c r="AT16"/>
  <c r="AS17"/>
  <c r="AS18"/>
  <c r="AS16"/>
  <c r="AR17"/>
  <c r="AR18"/>
  <c r="AR16"/>
  <c r="AX6"/>
  <c r="AX7"/>
  <c r="AX5"/>
  <c r="AW6"/>
  <c r="AW7"/>
  <c r="AW5"/>
  <c r="AV6"/>
  <c r="AV7"/>
  <c r="AV5"/>
  <c r="AU6"/>
  <c r="AU7"/>
  <c r="AU5"/>
  <c r="AT6"/>
  <c r="AT7"/>
  <c r="AT5"/>
  <c r="AS6"/>
  <c r="AS7"/>
  <c r="AS5"/>
  <c r="AR6"/>
  <c r="AR7"/>
  <c r="AR5"/>
  <c r="AA5"/>
  <c r="BH12"/>
  <c r="BC12"/>
  <c r="BD12"/>
  <c r="BE12"/>
  <c r="BF12"/>
  <c r="BG12"/>
  <c r="BB12"/>
  <c r="BC11"/>
  <c r="BD11"/>
  <c r="BE11"/>
  <c r="BF11"/>
  <c r="BG11"/>
  <c r="BH11"/>
  <c r="BB11"/>
  <c r="BC10"/>
  <c r="BD10"/>
  <c r="BE10"/>
  <c r="BF10"/>
  <c r="BG10"/>
  <c r="BH10"/>
  <c r="BB10"/>
  <c r="BC7"/>
  <c r="BD7"/>
  <c r="BE7"/>
  <c r="BF7"/>
  <c r="BG7"/>
  <c r="BH7"/>
  <c r="BB7"/>
  <c r="H9" l="1"/>
  <c r="G9"/>
  <c r="F9"/>
  <c r="E9"/>
  <c r="D9"/>
  <c r="C9"/>
  <c r="B9"/>
  <c r="L5" l="1"/>
  <c r="M5"/>
  <c r="N5"/>
  <c r="O5"/>
  <c r="P5"/>
  <c r="Q5"/>
  <c r="L6"/>
  <c r="M6"/>
  <c r="N6"/>
  <c r="O6"/>
  <c r="P6"/>
  <c r="Q6"/>
  <c r="L7"/>
  <c r="M7"/>
  <c r="N7"/>
  <c r="O7"/>
  <c r="P7"/>
  <c r="Q7"/>
  <c r="K6"/>
  <c r="K7"/>
  <c r="K5"/>
  <c r="T5" l="1"/>
  <c r="L9"/>
  <c r="AJ5"/>
  <c r="W6"/>
  <c r="AM6"/>
  <c r="S7"/>
  <c r="AI7"/>
  <c r="AO6"/>
  <c r="Y6"/>
  <c r="W5"/>
  <c r="AM5"/>
  <c r="O9"/>
  <c r="U5"/>
  <c r="AK5"/>
  <c r="M9"/>
  <c r="S5"/>
  <c r="AI5"/>
  <c r="K9"/>
  <c r="AN5"/>
  <c r="X5"/>
  <c r="P9"/>
  <c r="X7"/>
  <c r="AN7"/>
  <c r="X6"/>
  <c r="AN6"/>
  <c r="U7"/>
  <c r="AK7"/>
  <c r="AO5"/>
  <c r="Y5"/>
  <c r="AO7"/>
  <c r="Y7"/>
  <c r="S6"/>
  <c r="AI6"/>
  <c r="V7"/>
  <c r="AL7"/>
  <c r="T6"/>
  <c r="AJ6"/>
  <c r="V6"/>
  <c r="AL6"/>
  <c r="V5"/>
  <c r="N9"/>
  <c r="AL5"/>
  <c r="T7"/>
  <c r="AJ7"/>
  <c r="W7"/>
  <c r="AM7"/>
  <c r="U6"/>
  <c r="AK6"/>
  <c r="Y11"/>
  <c r="Q9"/>
  <c r="AG17" l="1"/>
  <c r="AG26"/>
  <c r="AL9"/>
  <c r="AL11"/>
  <c r="AF5"/>
  <c r="W11"/>
  <c r="AE16"/>
  <c r="AE25"/>
  <c r="W9"/>
  <c r="AJ9"/>
  <c r="AJ11"/>
  <c r="AB26"/>
  <c r="AC6"/>
  <c r="AB17"/>
  <c r="AF25"/>
  <c r="AG5"/>
  <c r="AF16"/>
  <c r="X11"/>
  <c r="X9"/>
  <c r="AE26"/>
  <c r="AF6"/>
  <c r="AE17"/>
  <c r="T11"/>
  <c r="AC5"/>
  <c r="AC9" s="1"/>
  <c r="AB16"/>
  <c r="AB25"/>
  <c r="T9"/>
  <c r="AC7"/>
  <c r="AB18"/>
  <c r="AB27"/>
  <c r="AM9"/>
  <c r="AM11"/>
  <c r="AE27"/>
  <c r="AF7"/>
  <c r="AE18"/>
  <c r="AC25"/>
  <c r="AD5"/>
  <c r="AC16"/>
  <c r="U9"/>
  <c r="AV9"/>
  <c r="AC27"/>
  <c r="AD7"/>
  <c r="AC18"/>
  <c r="AN9"/>
  <c r="AN11"/>
  <c r="AE6"/>
  <c r="AD26"/>
  <c r="AD17"/>
  <c r="AF27"/>
  <c r="AF18"/>
  <c r="AG7"/>
  <c r="AK9"/>
  <c r="AK11"/>
  <c r="AA18"/>
  <c r="AA27"/>
  <c r="AA7"/>
  <c r="AB7"/>
  <c r="U11"/>
  <c r="AC26"/>
  <c r="AC17"/>
  <c r="AD6"/>
  <c r="AU29"/>
  <c r="AG18"/>
  <c r="AG27"/>
  <c r="AI9"/>
  <c r="AR29"/>
  <c r="AI11"/>
  <c r="V11"/>
  <c r="AE7"/>
  <c r="AD27"/>
  <c r="AD18"/>
  <c r="AD25"/>
  <c r="AD16"/>
  <c r="AE5"/>
  <c r="AE9" s="1"/>
  <c r="V9"/>
  <c r="AB6"/>
  <c r="AA17"/>
  <c r="AA26"/>
  <c r="AA6"/>
  <c r="AF17"/>
  <c r="AF26"/>
  <c r="AG6"/>
  <c r="AA25"/>
  <c r="AB5"/>
  <c r="AA16"/>
  <c r="Y9"/>
  <c r="AG25"/>
  <c r="AG16"/>
  <c r="AO9"/>
  <c r="AO11"/>
  <c r="AV5" i="3"/>
  <c r="BE5" s="1"/>
  <c r="BN5" s="1"/>
  <c r="AV6"/>
  <c r="BE6" s="1"/>
  <c r="BN6" s="1"/>
  <c r="AV7"/>
  <c r="BE7" s="1"/>
  <c r="BN7" s="1"/>
  <c r="AV8"/>
  <c r="BE8" s="1"/>
  <c r="BN8" s="1"/>
  <c r="AV9"/>
  <c r="BE9" s="1"/>
  <c r="BN9" s="1"/>
  <c r="AV10"/>
  <c r="BE10" s="1"/>
  <c r="BN10" s="1"/>
  <c r="AV11"/>
  <c r="BE11" s="1"/>
  <c r="BN11" s="1"/>
  <c r="AV12"/>
  <c r="BE12" s="1"/>
  <c r="BN12" s="1"/>
  <c r="AV13"/>
  <c r="BE13" s="1"/>
  <c r="BN13" s="1"/>
  <c r="AR22" i="9" l="1"/>
  <c r="AR20"/>
  <c r="AW11"/>
  <c r="AW9"/>
  <c r="AV20"/>
  <c r="AV22"/>
  <c r="AG11"/>
  <c r="AG9"/>
  <c r="AA9"/>
  <c r="AA11"/>
  <c r="AR9"/>
  <c r="AR11"/>
  <c r="AT9"/>
  <c r="AT11"/>
  <c r="AW31"/>
  <c r="AW29"/>
  <c r="AB20"/>
  <c r="AB22"/>
  <c r="AF22"/>
  <c r="AF20"/>
  <c r="AT22"/>
  <c r="AV29"/>
  <c r="AV31"/>
  <c r="AS29"/>
  <c r="AE22"/>
  <c r="AW22"/>
  <c r="AW20"/>
  <c r="AC29"/>
  <c r="AC31"/>
  <c r="AB29"/>
  <c r="AB31"/>
  <c r="AE31"/>
  <c r="AE29"/>
  <c r="AU11"/>
  <c r="AU9"/>
  <c r="AA31"/>
  <c r="AA29"/>
  <c r="AD11"/>
  <c r="AD9"/>
  <c r="AT20"/>
  <c r="AR31"/>
  <c r="AT29"/>
  <c r="AU31"/>
  <c r="AA22"/>
  <c r="AA20"/>
  <c r="AS9"/>
  <c r="AS11"/>
  <c r="AU22"/>
  <c r="AB11"/>
  <c r="AB9"/>
  <c r="AC20"/>
  <c r="AC22"/>
  <c r="AD31"/>
  <c r="AD29"/>
  <c r="AT31"/>
  <c r="AU20"/>
  <c r="AC11"/>
  <c r="AS31"/>
  <c r="AD22"/>
  <c r="AD20"/>
  <c r="AS22"/>
  <c r="AS20"/>
  <c r="AE20"/>
  <c r="AF29"/>
  <c r="AF31"/>
  <c r="AF9"/>
  <c r="AF11"/>
  <c r="AE11"/>
  <c r="AV11"/>
  <c r="AG31"/>
  <c r="AG29"/>
  <c r="AG22"/>
  <c r="AG20"/>
  <c r="AX29"/>
  <c r="AX31"/>
  <c r="AX22"/>
  <c r="AX20"/>
  <c r="AX11"/>
  <c r="AX9"/>
  <c r="K19" i="2"/>
  <c r="G19"/>
  <c r="E19"/>
  <c r="E13"/>
  <c r="G13"/>
  <c r="AB69" i="3" l="1"/>
  <c r="AA69"/>
  <c r="Z69"/>
  <c r="Y69"/>
  <c r="X69"/>
  <c r="AB68"/>
  <c r="AA68"/>
  <c r="Z68"/>
  <c r="Y68"/>
  <c r="X68"/>
  <c r="AB67"/>
  <c r="AA67"/>
  <c r="Z67"/>
  <c r="Y67"/>
  <c r="X67"/>
  <c r="AB61"/>
  <c r="AA61"/>
  <c r="Z61"/>
  <c r="Y61"/>
  <c r="AB59"/>
  <c r="AA59"/>
  <c r="Z59"/>
  <c r="Y59"/>
  <c r="X59"/>
  <c r="X64" s="1"/>
  <c r="AB58"/>
  <c r="AA58"/>
  <c r="Z58"/>
  <c r="Y58"/>
  <c r="X58"/>
  <c r="X63" s="1"/>
  <c r="AB57"/>
  <c r="AA57"/>
  <c r="Z57"/>
  <c r="Y57"/>
  <c r="X57"/>
  <c r="BB13"/>
  <c r="BK13" s="1"/>
  <c r="BT13" s="1"/>
  <c r="BA13"/>
  <c r="BJ13" s="1"/>
  <c r="BS13" s="1"/>
  <c r="AZ13"/>
  <c r="BI13" s="1"/>
  <c r="BR13" s="1"/>
  <c r="AY13"/>
  <c r="BH13" s="1"/>
  <c r="BQ13" s="1"/>
  <c r="AX13"/>
  <c r="BG13" s="1"/>
  <c r="BP13" s="1"/>
  <c r="AW13"/>
  <c r="BF13" s="1"/>
  <c r="BO13" s="1"/>
  <c r="R13"/>
  <c r="Q13"/>
  <c r="P13"/>
  <c r="O13"/>
  <c r="N13"/>
  <c r="M13"/>
  <c r="L13"/>
  <c r="BB12"/>
  <c r="BK12" s="1"/>
  <c r="BT12" s="1"/>
  <c r="BA12"/>
  <c r="BJ12" s="1"/>
  <c r="BS12" s="1"/>
  <c r="AZ12"/>
  <c r="BI12" s="1"/>
  <c r="BR12" s="1"/>
  <c r="AY12"/>
  <c r="BH12" s="1"/>
  <c r="BQ12" s="1"/>
  <c r="AX12"/>
  <c r="BG12" s="1"/>
  <c r="BP12" s="1"/>
  <c r="AW12"/>
  <c r="BF12" s="1"/>
  <c r="BO12" s="1"/>
  <c r="R12"/>
  <c r="Q12"/>
  <c r="P12"/>
  <c r="O12"/>
  <c r="N12"/>
  <c r="M12"/>
  <c r="L12"/>
  <c r="BB11"/>
  <c r="BK11" s="1"/>
  <c r="BT11" s="1"/>
  <c r="BA11"/>
  <c r="BJ11" s="1"/>
  <c r="BS11" s="1"/>
  <c r="AZ11"/>
  <c r="BI11" s="1"/>
  <c r="BR11" s="1"/>
  <c r="AY11"/>
  <c r="BH11" s="1"/>
  <c r="BQ11" s="1"/>
  <c r="AX11"/>
  <c r="BG11" s="1"/>
  <c r="BP11" s="1"/>
  <c r="AW11"/>
  <c r="BF11" s="1"/>
  <c r="BO11" s="1"/>
  <c r="R11"/>
  <c r="Q11"/>
  <c r="P11"/>
  <c r="O11"/>
  <c r="N11"/>
  <c r="M11"/>
  <c r="L11"/>
  <c r="BB10"/>
  <c r="BK10" s="1"/>
  <c r="BT10" s="1"/>
  <c r="BA10"/>
  <c r="BJ10" s="1"/>
  <c r="BS10" s="1"/>
  <c r="AZ10"/>
  <c r="BI10" s="1"/>
  <c r="BR10" s="1"/>
  <c r="AY10"/>
  <c r="BH10" s="1"/>
  <c r="BQ10" s="1"/>
  <c r="AX10"/>
  <c r="BG10" s="1"/>
  <c r="BP10" s="1"/>
  <c r="AW10"/>
  <c r="BF10" s="1"/>
  <c r="BO10" s="1"/>
  <c r="R10"/>
  <c r="Q10"/>
  <c r="P10"/>
  <c r="O10"/>
  <c r="N10"/>
  <c r="M10"/>
  <c r="L10"/>
  <c r="BB9"/>
  <c r="BK9" s="1"/>
  <c r="BT9" s="1"/>
  <c r="BA9"/>
  <c r="BJ9" s="1"/>
  <c r="BS9" s="1"/>
  <c r="AZ9"/>
  <c r="BI9" s="1"/>
  <c r="BR9" s="1"/>
  <c r="AY9"/>
  <c r="BH9" s="1"/>
  <c r="BQ9" s="1"/>
  <c r="AX9"/>
  <c r="BG9" s="1"/>
  <c r="BP9" s="1"/>
  <c r="AW9"/>
  <c r="BF9" s="1"/>
  <c r="BO9" s="1"/>
  <c r="R9"/>
  <c r="Q9"/>
  <c r="P9"/>
  <c r="O9"/>
  <c r="N9"/>
  <c r="M9"/>
  <c r="L9"/>
  <c r="BB8"/>
  <c r="BK8" s="1"/>
  <c r="BT8" s="1"/>
  <c r="BA8"/>
  <c r="BJ8" s="1"/>
  <c r="BS8" s="1"/>
  <c r="AZ8"/>
  <c r="BI8" s="1"/>
  <c r="BR8" s="1"/>
  <c r="AY8"/>
  <c r="BH8" s="1"/>
  <c r="BQ8" s="1"/>
  <c r="AX8"/>
  <c r="BG8" s="1"/>
  <c r="BP8" s="1"/>
  <c r="AW8"/>
  <c r="BF8" s="1"/>
  <c r="BO8" s="1"/>
  <c r="R8"/>
  <c r="Q8"/>
  <c r="P8"/>
  <c r="O8"/>
  <c r="N8"/>
  <c r="M8"/>
  <c r="L8"/>
  <c r="BB7"/>
  <c r="BK7" s="1"/>
  <c r="BT7" s="1"/>
  <c r="BA7"/>
  <c r="BJ7" s="1"/>
  <c r="BS7" s="1"/>
  <c r="AZ7"/>
  <c r="BI7" s="1"/>
  <c r="BR7" s="1"/>
  <c r="AY7"/>
  <c r="BH7" s="1"/>
  <c r="BQ7" s="1"/>
  <c r="AX7"/>
  <c r="BG7" s="1"/>
  <c r="BP7" s="1"/>
  <c r="AW7"/>
  <c r="BF7" s="1"/>
  <c r="BO7" s="1"/>
  <c r="R7"/>
  <c r="Q7"/>
  <c r="P7"/>
  <c r="O7"/>
  <c r="N7"/>
  <c r="M7"/>
  <c r="L7"/>
  <c r="BB6"/>
  <c r="BK6" s="1"/>
  <c r="BT6" s="1"/>
  <c r="BA6"/>
  <c r="BJ6" s="1"/>
  <c r="BS6" s="1"/>
  <c r="AZ6"/>
  <c r="BI6" s="1"/>
  <c r="BR6" s="1"/>
  <c r="AY6"/>
  <c r="BH6" s="1"/>
  <c r="BQ6" s="1"/>
  <c r="AX6"/>
  <c r="BG6" s="1"/>
  <c r="BP6" s="1"/>
  <c r="AW6"/>
  <c r="BF6" s="1"/>
  <c r="BO6" s="1"/>
  <c r="R6"/>
  <c r="Q6"/>
  <c r="P6"/>
  <c r="O6"/>
  <c r="N6"/>
  <c r="M6"/>
  <c r="L6"/>
  <c r="BB5"/>
  <c r="BK5" s="1"/>
  <c r="BT5" s="1"/>
  <c r="BA5"/>
  <c r="BJ5" s="1"/>
  <c r="BS5" s="1"/>
  <c r="AZ5"/>
  <c r="BI5" s="1"/>
  <c r="BR5" s="1"/>
  <c r="AY5"/>
  <c r="BH5" s="1"/>
  <c r="BQ5" s="1"/>
  <c r="AX5"/>
  <c r="BG5" s="1"/>
  <c r="BP5" s="1"/>
  <c r="AW5"/>
  <c r="BF5" s="1"/>
  <c r="BO5" s="1"/>
  <c r="R5"/>
  <c r="Q5"/>
  <c r="P5"/>
  <c r="O5"/>
  <c r="N5"/>
  <c r="M5"/>
  <c r="L5"/>
  <c r="Q19" i="2"/>
  <c r="O19"/>
  <c r="M19"/>
  <c r="I19"/>
  <c r="Q13"/>
  <c r="O13"/>
  <c r="M13"/>
  <c r="K13"/>
  <c r="I13"/>
  <c r="Q5"/>
  <c r="Q6" s="1"/>
  <c r="Q20" s="1"/>
  <c r="Q23" s="1"/>
  <c r="Q36" s="1"/>
  <c r="Q41" s="1"/>
  <c r="O5"/>
  <c r="O6" s="1"/>
  <c r="M5"/>
  <c r="M6" s="1"/>
  <c r="K5"/>
  <c r="K6" s="1"/>
  <c r="I5"/>
  <c r="I6" s="1"/>
  <c r="I15" s="1"/>
  <c r="G5"/>
  <c r="G6" s="1"/>
  <c r="G15" s="1"/>
  <c r="E5"/>
  <c r="E6" s="1"/>
  <c r="Q27" l="1"/>
  <c r="Q34" i="3"/>
  <c r="Z9"/>
  <c r="AA13"/>
  <c r="AJ13" s="1"/>
  <c r="R38"/>
  <c r="Q32"/>
  <c r="Z7"/>
  <c r="Q33"/>
  <c r="Z8"/>
  <c r="AI8" s="1"/>
  <c r="Z13"/>
  <c r="AI13" s="1"/>
  <c r="Q38"/>
  <c r="AA12"/>
  <c r="AJ12" s="1"/>
  <c r="R37"/>
  <c r="Q30"/>
  <c r="Z5"/>
  <c r="AI5" s="1"/>
  <c r="Z12"/>
  <c r="AI12" s="1"/>
  <c r="Q37"/>
  <c r="AB64"/>
  <c r="R32"/>
  <c r="AA7"/>
  <c r="R33"/>
  <c r="AA8"/>
  <c r="AJ8" s="1"/>
  <c r="AA5"/>
  <c r="AJ5" s="1"/>
  <c r="R30"/>
  <c r="AA6"/>
  <c r="AJ6" s="1"/>
  <c r="R31"/>
  <c r="Z6"/>
  <c r="AI6" s="1"/>
  <c r="Q31"/>
  <c r="Z10"/>
  <c r="AI10" s="1"/>
  <c r="Q35"/>
  <c r="R36"/>
  <c r="AA11"/>
  <c r="AJ11" s="1"/>
  <c r="R34"/>
  <c r="AA9"/>
  <c r="AJ9" s="1"/>
  <c r="AA10"/>
  <c r="AJ10" s="1"/>
  <c r="R35"/>
  <c r="Z11"/>
  <c r="Q36"/>
  <c r="N17"/>
  <c r="N31"/>
  <c r="R18"/>
  <c r="R19"/>
  <c r="AI9"/>
  <c r="Q21"/>
  <c r="P22"/>
  <c r="P36"/>
  <c r="U12"/>
  <c r="AD12" s="1"/>
  <c r="L37"/>
  <c r="R24"/>
  <c r="R16"/>
  <c r="M17"/>
  <c r="M31"/>
  <c r="Q18"/>
  <c r="P20"/>
  <c r="P34"/>
  <c r="Y10"/>
  <c r="AH10" s="1"/>
  <c r="P35"/>
  <c r="O22"/>
  <c r="O36"/>
  <c r="Q24"/>
  <c r="L17"/>
  <c r="L31"/>
  <c r="P18"/>
  <c r="P32"/>
  <c r="Y8"/>
  <c r="AH8" s="1"/>
  <c r="P33"/>
  <c r="O20"/>
  <c r="O34"/>
  <c r="X10"/>
  <c r="AG10" s="1"/>
  <c r="O35"/>
  <c r="N22"/>
  <c r="N36"/>
  <c r="R23"/>
  <c r="P24"/>
  <c r="P38"/>
  <c r="Q16"/>
  <c r="P16"/>
  <c r="P30"/>
  <c r="X7"/>
  <c r="AG7" s="1"/>
  <c r="O32"/>
  <c r="O19"/>
  <c r="O33"/>
  <c r="N20"/>
  <c r="N34"/>
  <c r="N21"/>
  <c r="N35"/>
  <c r="M22"/>
  <c r="M36"/>
  <c r="O24"/>
  <c r="O38"/>
  <c r="O16"/>
  <c r="O30"/>
  <c r="R17"/>
  <c r="N18"/>
  <c r="N32"/>
  <c r="N19"/>
  <c r="N33"/>
  <c r="M20"/>
  <c r="M34"/>
  <c r="M21"/>
  <c r="M35"/>
  <c r="L22"/>
  <c r="L36"/>
  <c r="Y12"/>
  <c r="AH12" s="1"/>
  <c r="P37"/>
  <c r="N24"/>
  <c r="N38"/>
  <c r="N16"/>
  <c r="N30"/>
  <c r="Q17"/>
  <c r="V7"/>
  <c r="AE7" s="1"/>
  <c r="M32"/>
  <c r="V8"/>
  <c r="AE8" s="1"/>
  <c r="M33"/>
  <c r="L20"/>
  <c r="L34"/>
  <c r="L21"/>
  <c r="L35"/>
  <c r="O23"/>
  <c r="O37"/>
  <c r="M24"/>
  <c r="M38"/>
  <c r="M16"/>
  <c r="M30"/>
  <c r="P17"/>
  <c r="P31"/>
  <c r="U7"/>
  <c r="AD7" s="1"/>
  <c r="L32"/>
  <c r="U8"/>
  <c r="AD8" s="1"/>
  <c r="L33"/>
  <c r="R22"/>
  <c r="N23"/>
  <c r="N37"/>
  <c r="L24"/>
  <c r="L38"/>
  <c r="U5"/>
  <c r="AD5" s="1"/>
  <c r="L30"/>
  <c r="O17"/>
  <c r="O31"/>
  <c r="R20"/>
  <c r="R21"/>
  <c r="Q22"/>
  <c r="V12"/>
  <c r="AE12" s="1"/>
  <c r="M37"/>
  <c r="Z64"/>
  <c r="AA64"/>
  <c r="Z62"/>
  <c r="X9"/>
  <c r="AG9" s="1"/>
  <c r="V11"/>
  <c r="AE11" s="1"/>
  <c r="AB66"/>
  <c r="X8"/>
  <c r="AG8" s="1"/>
  <c r="AA62"/>
  <c r="Y64"/>
  <c r="W8"/>
  <c r="AF8" s="1"/>
  <c r="Y62"/>
  <c r="AB63"/>
  <c r="AA63"/>
  <c r="W11"/>
  <c r="AF11" s="1"/>
  <c r="Z63"/>
  <c r="Y63"/>
  <c r="W7"/>
  <c r="AF7" s="1"/>
  <c r="V6"/>
  <c r="AE6" s="1"/>
  <c r="AJ7"/>
  <c r="Y9"/>
  <c r="AH9" s="1"/>
  <c r="W10"/>
  <c r="AF10" s="1"/>
  <c r="U11"/>
  <c r="AD11" s="1"/>
  <c r="X12"/>
  <c r="AG12" s="1"/>
  <c r="X13"/>
  <c r="AG13" s="1"/>
  <c r="L16"/>
  <c r="O18"/>
  <c r="Q19"/>
  <c r="M23"/>
  <c r="AA66"/>
  <c r="U6"/>
  <c r="AD6" s="1"/>
  <c r="AI7"/>
  <c r="V10"/>
  <c r="AE10" s="1"/>
  <c r="W12"/>
  <c r="AF12" s="1"/>
  <c r="W13"/>
  <c r="AF13" s="1"/>
  <c r="P19"/>
  <c r="Q20"/>
  <c r="L23"/>
  <c r="X62"/>
  <c r="Z66"/>
  <c r="Y5"/>
  <c r="AH5" s="1"/>
  <c r="Y7"/>
  <c r="AH7" s="1"/>
  <c r="W9"/>
  <c r="AF9" s="1"/>
  <c r="U10"/>
  <c r="AD10" s="1"/>
  <c r="V13"/>
  <c r="AE13" s="1"/>
  <c r="M18"/>
  <c r="Y66"/>
  <c r="X5"/>
  <c r="V9"/>
  <c r="AE9" s="1"/>
  <c r="AI11"/>
  <c r="U13"/>
  <c r="AD13" s="1"/>
  <c r="L18"/>
  <c r="P21"/>
  <c r="W5"/>
  <c r="AF5" s="1"/>
  <c r="U9"/>
  <c r="AD9" s="1"/>
  <c r="Y11"/>
  <c r="AH11" s="1"/>
  <c r="M19"/>
  <c r="O21"/>
  <c r="Q23"/>
  <c r="V5"/>
  <c r="AE5" s="1"/>
  <c r="Y6"/>
  <c r="AH6" s="1"/>
  <c r="X11"/>
  <c r="AG11" s="1"/>
  <c r="L19"/>
  <c r="P23"/>
  <c r="AB62"/>
  <c r="X6"/>
  <c r="AG6" s="1"/>
  <c r="W6"/>
  <c r="AF6" s="1"/>
  <c r="Y13"/>
  <c r="AH13" s="1"/>
  <c r="I42" i="2"/>
  <c r="G42"/>
  <c r="O20"/>
  <c r="O23" s="1"/>
  <c r="O27" s="1"/>
  <c r="O15"/>
  <c r="M20"/>
  <c r="M23" s="1"/>
  <c r="M27" s="1"/>
  <c r="M15"/>
  <c r="M29" s="1"/>
  <c r="K15"/>
  <c r="K20"/>
  <c r="K23" s="1"/>
  <c r="K27" s="1"/>
  <c r="E15"/>
  <c r="E20"/>
  <c r="E23" s="1"/>
  <c r="Q15"/>
  <c r="Q29" s="1"/>
  <c r="I20"/>
  <c r="I23" s="1"/>
  <c r="I27" s="1"/>
  <c r="I29" s="1"/>
  <c r="G20"/>
  <c r="G23" s="1"/>
  <c r="G27" s="1"/>
  <c r="G29" s="1"/>
  <c r="K29" l="1"/>
  <c r="E42"/>
  <c r="E38"/>
  <c r="E29"/>
  <c r="E36"/>
  <c r="E27"/>
  <c r="O29"/>
  <c r="M36"/>
  <c r="M41" s="1"/>
  <c r="M43" s="1"/>
  <c r="G36"/>
  <c r="G41" s="1"/>
  <c r="G43" s="1"/>
  <c r="I36"/>
  <c r="I41" s="1"/>
  <c r="I43" s="1"/>
  <c r="E41"/>
  <c r="E43" s="1"/>
  <c r="O36"/>
  <c r="O41" s="1"/>
  <c r="K36"/>
  <c r="K41" s="1"/>
  <c r="K43" s="1"/>
  <c r="M42"/>
  <c r="Q38"/>
  <c r="Q42"/>
  <c r="Q43" s="1"/>
  <c r="K38"/>
  <c r="K42"/>
  <c r="O42"/>
  <c r="I38" l="1"/>
  <c r="O38"/>
  <c r="O43"/>
  <c r="G38"/>
  <c r="M38"/>
  <c r="S9" i="9" l="1"/>
  <c r="S11"/>
</calcChain>
</file>

<file path=xl/sharedStrings.xml><?xml version="1.0" encoding="utf-8"?>
<sst xmlns="http://schemas.openxmlformats.org/spreadsheetml/2006/main" count="346" uniqueCount="148">
  <si>
    <t>Fe3O4</t>
  </si>
  <si>
    <t>Average Conversion</t>
  </si>
  <si>
    <t>rate (mmol/min)</t>
  </si>
  <si>
    <t>rate (mmol/min /g Fe3O4)</t>
  </si>
  <si>
    <t>Fe3O4/SiO2 (9.7 nm)</t>
  </si>
  <si>
    <t>Fe3O4/SiO2 (16.6 nm)</t>
  </si>
  <si>
    <t>Fe3O4/SiO2 (18.3 nm)</t>
  </si>
  <si>
    <t>Fe3O4/SiO2 (27.8 nm)</t>
  </si>
  <si>
    <t>Fe3O4/SiO2 (38.9 nm)</t>
  </si>
  <si>
    <t>Fe3O4/SiO2 (44.7 nm)</t>
  </si>
  <si>
    <t>rate (mmol/min /g /m2)</t>
  </si>
  <si>
    <t>acetone selectivity</t>
  </si>
  <si>
    <t xml:space="preserve">acetone production rate (mmol/min)  =   (selectivity*conversion)*flow rate of AcOH </t>
  </si>
  <si>
    <t xml:space="preserve">acetone production rate per g (mmol/min /g Fe3O4)  </t>
  </si>
  <si>
    <t xml:space="preserve">acetone production rate per g (mmol/min /g /m2 Fe3O4)  </t>
  </si>
  <si>
    <t>particle size</t>
  </si>
  <si>
    <t>(6.4 Fe3O4)</t>
  </si>
  <si>
    <t>(7 Fe3O4)</t>
  </si>
  <si>
    <t>166.545 (13.6 Fe3O4)</t>
  </si>
  <si>
    <t>153.3 (13.3 Fe3O4)</t>
  </si>
  <si>
    <t>124.202 (19.0 Fe3O4)</t>
  </si>
  <si>
    <t>average</t>
  </si>
  <si>
    <t>4%Fe3O4/SiO2</t>
  </si>
  <si>
    <t>5%Fe3O4/SiO2</t>
  </si>
  <si>
    <t>10%Fe3O4/SiO2</t>
  </si>
  <si>
    <t>22%Fe3O4/SiO2</t>
  </si>
  <si>
    <t>66%Fe3O4/SiO2</t>
  </si>
  <si>
    <t>Fe3O4@390N2</t>
  </si>
  <si>
    <t>Fe3O4@450N2</t>
  </si>
  <si>
    <t>Fe3O4@600N2</t>
  </si>
  <si>
    <t>Fe3O4@500N2 2hrs</t>
  </si>
  <si>
    <t>Fe2O3red@280C</t>
  </si>
  <si>
    <t>Fe3O4@500C</t>
  </si>
  <si>
    <t>Fe3O4@800C</t>
  </si>
  <si>
    <t>8%Fe3O4/SiO2</t>
  </si>
  <si>
    <t>80%Fe3O4/SiO2</t>
  </si>
  <si>
    <t>Fe3O4@390CN2</t>
  </si>
  <si>
    <t>Fe3O4@450CN2</t>
  </si>
  <si>
    <t>Fe3O4@600CN2</t>
  </si>
  <si>
    <t>Fe3O4@500CN2 2hr</t>
  </si>
  <si>
    <t>33%Fe3O4/SiO2</t>
  </si>
  <si>
    <t>catalyst (g)</t>
  </si>
  <si>
    <t>mmol /hr converted</t>
  </si>
  <si>
    <t>Density of Fe3O4: 5.175 g/cm3</t>
  </si>
  <si>
    <t>Density of Fe3O4:</t>
  </si>
  <si>
    <t>g/m3</t>
  </si>
  <si>
    <t>d (nm)</t>
  </si>
  <si>
    <t>d (m)</t>
  </si>
  <si>
    <t>r (m)</t>
  </si>
  <si>
    <t>m2 /g</t>
  </si>
  <si>
    <t>14%Fe3O4/SiO2</t>
  </si>
  <si>
    <t>28%Fe3O4/SiO2</t>
  </si>
  <si>
    <t>36%Fe3O4/SiO2</t>
  </si>
  <si>
    <t>56%Fe3O4/SiO2</t>
  </si>
  <si>
    <t>63%Fe3O4/SiO2</t>
  </si>
  <si>
    <t>g</t>
  </si>
  <si>
    <r>
      <t xml:space="preserve">surface of a sphere = 4 </t>
    </r>
    <r>
      <rPr>
        <sz val="11"/>
        <color theme="1"/>
        <rFont val="Calibri"/>
        <family val="2"/>
      </rPr>
      <t>π</t>
    </r>
    <r>
      <rPr>
        <sz val="11"/>
        <color theme="1"/>
        <rFont val="Calibri"/>
        <family val="2"/>
        <scheme val="minor"/>
      </rPr>
      <t xml:space="preserve"> r</t>
    </r>
    <r>
      <rPr>
        <vertAlign val="superscript"/>
        <sz val="11"/>
        <color theme="1"/>
        <rFont val="Calibri"/>
        <family val="2"/>
        <scheme val="minor"/>
      </rPr>
      <t>2</t>
    </r>
  </si>
  <si>
    <t>AREA OF 1 PARTICLE</t>
  </si>
  <si>
    <t xml:space="preserve">area  = </t>
  </si>
  <si>
    <t>nm2</t>
  </si>
  <si>
    <t xml:space="preserve">area = </t>
  </si>
  <si>
    <t>m2</t>
  </si>
  <si>
    <r>
      <t>volume of sphere = 4/3  π 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</si>
  <si>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VOLUME OF 1 PARTICLE</t>
  </si>
  <si>
    <t>volume =</t>
  </si>
  <si>
    <r>
      <t>nm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</si>
  <si>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</si>
  <si>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350 C</t>
  </si>
  <si>
    <t>MASS OF 1 PARTICLE</t>
  </si>
  <si>
    <t>DENSITY (g/m3) x VOLUME (m3)</t>
  </si>
  <si>
    <t>375 C</t>
  </si>
  <si>
    <t xml:space="preserve">mass = </t>
  </si>
  <si>
    <t>400 C</t>
  </si>
  <si>
    <t>gradient</t>
  </si>
  <si>
    <t>number of particles in the above mass of Fe3O4</t>
  </si>
  <si>
    <t>particles</t>
  </si>
  <si>
    <t>increase in cat loading</t>
  </si>
  <si>
    <t>surface area of the above particles</t>
  </si>
  <si>
    <t>increase in rate, 350 C</t>
  </si>
  <si>
    <t>increase in rate, 375 C</t>
  </si>
  <si>
    <t>increase in rate, 400 C</t>
  </si>
  <si>
    <t>ASSUMING HEMISPHERES</t>
  </si>
  <si>
    <t>number of particles</t>
  </si>
  <si>
    <t>area of hemisphere</t>
  </si>
  <si>
    <t>surface area</t>
  </si>
  <si>
    <t>number of particles in the above mass of 1g Fe3O4</t>
  </si>
  <si>
    <t>m2 /g of Fe3O4/SiO2 catalyst</t>
  </si>
  <si>
    <t>m2 /g Fe3O4</t>
  </si>
  <si>
    <t>Fe3O4/SiO2 (6.3 nm)</t>
  </si>
  <si>
    <t>mmol amine /g Fe3O4</t>
  </si>
  <si>
    <t>g Fe3O4 in 1 g of Fe3O4/SiO2 catalyst</t>
  </si>
  <si>
    <t>mmol amine /g sample</t>
  </si>
  <si>
    <t>184.03 m2 /g</t>
  </si>
  <si>
    <t>119.53 m2 /g</t>
  </si>
  <si>
    <t>69.84 m2 /g</t>
  </si>
  <si>
    <t>63.36 m2 /g</t>
  </si>
  <si>
    <t>41.71 m2 /g</t>
  </si>
  <si>
    <t>29.81 m2 /g</t>
  </si>
  <si>
    <t>25.94 m2 /g</t>
  </si>
  <si>
    <t>36%Fe3O4/SiO2 #2</t>
  </si>
  <si>
    <t>63%Fe3O4/SiO2 44nm</t>
  </si>
  <si>
    <t>RATE per g catalyst</t>
  </si>
  <si>
    <t>CASA SIO2 contribution</t>
  </si>
  <si>
    <t>strong acids</t>
  </si>
  <si>
    <t>medium acids</t>
  </si>
  <si>
    <t>SUM of above</t>
  </si>
  <si>
    <t>ratio of strong to weak</t>
  </si>
  <si>
    <t>corrected acidity -SiO2</t>
  </si>
  <si>
    <t>corrected acidity strong</t>
  </si>
  <si>
    <t>#1</t>
  </si>
  <si>
    <t>#2</t>
  </si>
  <si>
    <t>#3</t>
  </si>
  <si>
    <t>CONVERSION</t>
  </si>
  <si>
    <t>rate (mmol /min)</t>
  </si>
  <si>
    <t>rate (mmol /min /g Fe3O4)</t>
  </si>
  <si>
    <t>std errors</t>
  </si>
  <si>
    <t>TOFs</t>
  </si>
  <si>
    <t>TOF for TOTAL Fe acid sites</t>
  </si>
  <si>
    <t>TOF for STRONG Fe acid sites</t>
  </si>
  <si>
    <t>33%Fe3O4/SiO2 #2</t>
  </si>
  <si>
    <t>80%Fe3O4/SiO2 44nm</t>
  </si>
  <si>
    <t>standard errors</t>
  </si>
  <si>
    <t>particle vs selectivity at different reaction temperatures</t>
  </si>
  <si>
    <t>size</t>
  </si>
  <si>
    <t>375C</t>
  </si>
  <si>
    <t>400C</t>
  </si>
  <si>
    <t>425C</t>
  </si>
  <si>
    <t>450C</t>
  </si>
  <si>
    <t>selectivity vs size at ~30% conversion</t>
  </si>
  <si>
    <t>selectivity</t>
  </si>
  <si>
    <t>error</t>
  </si>
  <si>
    <t>conv</t>
  </si>
  <si>
    <t>selectivity vs size at ~50% conversion</t>
  </si>
  <si>
    <t>mmol /g catalyst</t>
  </si>
  <si>
    <t>rate (mmol /min /g catalyst)</t>
  </si>
  <si>
    <t>mmol /g</t>
  </si>
  <si>
    <t>based on rate in mmol /min /g and acid density in mmol /g</t>
  </si>
  <si>
    <t>mmol /g Fe3O4</t>
  </si>
  <si>
    <t>corrected acidity -SiO2 /g Fe3O4</t>
  </si>
  <si>
    <t>corrected acidity strong /g Fe3O4</t>
  </si>
  <si>
    <t>corrected acidity weak</t>
  </si>
  <si>
    <t>TOF for WEAK Fe acid sites</t>
  </si>
  <si>
    <t>corrected acidity weak /g Fe3O4</t>
  </si>
  <si>
    <t>based on rate in mmol /min /g Fe3O4 and acid density in mmol /g Fe3O4</t>
  </si>
  <si>
    <t>bulk Fe3O4 tests</t>
  </si>
  <si>
    <t>Fe3O4 at different loadings to confirm it is the active phase</t>
  </si>
  <si>
    <t>catalyst mass (g)</t>
  </si>
  <si>
    <t>Acetone selectivity (%)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</si>
</sst>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4" fillId="4" borderId="0" xfId="0" applyFont="1" applyFill="1"/>
    <xf numFmtId="0" fontId="0" fillId="4" borderId="0" xfId="0" applyFill="1"/>
    <xf numFmtId="0" fontId="0" fillId="5" borderId="0" xfId="0" applyFill="1"/>
    <xf numFmtId="0" fontId="4" fillId="6" borderId="0" xfId="0" applyFont="1" applyFill="1"/>
    <xf numFmtId="0" fontId="0" fillId="6" borderId="0" xfId="0" applyFill="1"/>
    <xf numFmtId="0" fontId="0" fillId="7" borderId="0" xfId="0" applyFill="1"/>
    <xf numFmtId="0" fontId="4" fillId="8" borderId="0" xfId="0" applyFont="1" applyFill="1"/>
    <xf numFmtId="0" fontId="0" fillId="8" borderId="0" xfId="0" applyFill="1"/>
    <xf numFmtId="0" fontId="0" fillId="9" borderId="0" xfId="0" applyFill="1"/>
    <xf numFmtId="0" fontId="5" fillId="6" borderId="0" xfId="0" applyFont="1" applyFill="1"/>
    <xf numFmtId="0" fontId="6" fillId="6" borderId="0" xfId="0" applyFont="1" applyFill="1"/>
    <xf numFmtId="0" fontId="5" fillId="4" borderId="0" xfId="0" applyFont="1" applyFill="1"/>
    <xf numFmtId="0" fontId="6" fillId="4" borderId="0" xfId="0" applyFont="1" applyFill="1"/>
    <xf numFmtId="0" fontId="5" fillId="10" borderId="0" xfId="0" applyFont="1" applyFill="1"/>
    <xf numFmtId="0" fontId="6" fillId="10" borderId="0" xfId="0" applyFont="1" applyFill="1"/>
    <xf numFmtId="0" fontId="0" fillId="10" borderId="0" xfId="0" applyFill="1"/>
    <xf numFmtId="0" fontId="7" fillId="0" borderId="0" xfId="3" applyAlignment="1" applyProtection="1"/>
    <xf numFmtId="0" fontId="0" fillId="11" borderId="0" xfId="0" applyFill="1"/>
    <xf numFmtId="0" fontId="0" fillId="12" borderId="0" xfId="0" applyFill="1"/>
    <xf numFmtId="0" fontId="6" fillId="12" borderId="0" xfId="2" applyFont="1" applyFill="1"/>
    <xf numFmtId="0" fontId="6" fillId="11" borderId="0" xfId="2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6" fillId="12" borderId="0" xfId="0" applyFont="1" applyFill="1"/>
    <xf numFmtId="0" fontId="6" fillId="11" borderId="0" xfId="0" applyFont="1" applyFill="1"/>
    <xf numFmtId="0" fontId="4" fillId="0" borderId="0" xfId="0" applyFont="1"/>
    <xf numFmtId="0" fontId="1" fillId="2" borderId="0" xfId="1" applyFont="1"/>
    <xf numFmtId="0" fontId="11" fillId="0" borderId="0" xfId="0" applyFont="1" applyAlignment="1">
      <alignment horizontal="center" readingOrder="1"/>
    </xf>
    <xf numFmtId="11" fontId="0" fillId="0" borderId="0" xfId="0" applyNumberFormat="1"/>
    <xf numFmtId="2" fontId="1" fillId="2" borderId="0" xfId="1" applyNumberFormat="1" applyFont="1"/>
    <xf numFmtId="0" fontId="2" fillId="2" borderId="0" xfId="1"/>
    <xf numFmtId="0" fontId="6" fillId="2" borderId="0" xfId="1" applyFont="1"/>
    <xf numFmtId="0" fontId="0" fillId="20" borderId="0" xfId="0" applyFill="1"/>
    <xf numFmtId="0" fontId="3" fillId="3" borderId="0" xfId="2"/>
    <xf numFmtId="0" fontId="6" fillId="12" borderId="0" xfId="1" applyFont="1" applyFill="1"/>
    <xf numFmtId="0" fontId="0" fillId="21" borderId="0" xfId="0" applyFill="1"/>
    <xf numFmtId="0" fontId="4" fillId="12" borderId="0" xfId="0" applyFont="1" applyFill="1"/>
    <xf numFmtId="0" fontId="4" fillId="14" borderId="0" xfId="0" applyFont="1" applyFill="1"/>
  </cellXfs>
  <cellStyles count="4">
    <cellStyle name="Good" xfId="1" builtinId="26"/>
    <cellStyle name="Hyperlink" xfId="3" builtinId="8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/m</a:t>
            </a:r>
            <a:r>
              <a:rPr lang="en-GB" sz="1200" b="0" baseline="30000"/>
              <a:t>2</a:t>
            </a:r>
            <a:r>
              <a:rPr lang="en-GB" sz="1200" b="0"/>
              <a:t>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for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/SiO</a:t>
            </a:r>
            <a:r>
              <a:rPr lang="en-GB" sz="1200" b="0" baseline="-25000"/>
              <a:t>2</a:t>
            </a:r>
            <a:r>
              <a:rPr lang="en-GB" sz="1200" b="0"/>
              <a:t> </a:t>
            </a:r>
          </a:p>
        </c:rich>
      </c:tx>
      <c:layout>
        <c:manualLayout>
          <c:xMode val="edge"/>
          <c:yMode val="edge"/>
          <c:x val="0.18825833333333564"/>
          <c:y val="1.767878787878787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5835648148148"/>
          <c:y val="9.9482323232323214E-2"/>
          <c:w val="0.78115439814814813"/>
          <c:h val="0.75626237373737359"/>
        </c:manualLayout>
      </c:layout>
      <c:scatterChart>
        <c:scatterStyle val="lineMarker"/>
        <c:ser>
          <c:idx val="2"/>
          <c:order val="0"/>
          <c:tx>
            <c:v>450 C</c:v>
          </c:tx>
          <c:spPr>
            <a:ln w="28575">
              <a:noFill/>
            </a:ln>
          </c:spPr>
          <c:xVal>
            <c:numRef>
              <c:f>'conv and rate'!$AW$2:$BB$2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rate'!$AE$13:$AJ$13</c:f>
              <c:numCache>
                <c:formatCode>General</c:formatCode>
                <c:ptCount val="6"/>
                <c:pt idx="0">
                  <c:v>0.66716772560566151</c:v>
                </c:pt>
                <c:pt idx="1">
                  <c:v>0.56615893153075947</c:v>
                </c:pt>
                <c:pt idx="2">
                  <c:v>0.78442920006819139</c:v>
                </c:pt>
                <c:pt idx="3">
                  <c:v>0.84504778321689733</c:v>
                </c:pt>
                <c:pt idx="4">
                  <c:v>0.87169672818791921</c:v>
                </c:pt>
                <c:pt idx="5">
                  <c:v>0.65074949867576604</c:v>
                </c:pt>
              </c:numCache>
            </c:numRef>
          </c:yVal>
        </c:ser>
        <c:ser>
          <c:idx val="3"/>
          <c:order val="1"/>
          <c:tx>
            <c:v>425 C</c:v>
          </c:tx>
          <c:spPr>
            <a:ln w="28575">
              <a:noFill/>
            </a:ln>
          </c:spPr>
          <c:xVal>
            <c:numRef>
              <c:f>'conv and rate'!$AW$2:$BB$2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rate'!$AE$12:$AJ$12</c:f>
              <c:numCache>
                <c:formatCode>General</c:formatCode>
                <c:ptCount val="6"/>
                <c:pt idx="0">
                  <c:v>0.43029082080685987</c:v>
                </c:pt>
                <c:pt idx="1">
                  <c:v>0.49893980233301155</c:v>
                </c:pt>
                <c:pt idx="2">
                  <c:v>0.53122490620486873</c:v>
                </c:pt>
                <c:pt idx="3">
                  <c:v>0.42408014903610414</c:v>
                </c:pt>
                <c:pt idx="4">
                  <c:v>0.57773272433507328</c:v>
                </c:pt>
                <c:pt idx="5">
                  <c:v>0.39456836691859737</c:v>
                </c:pt>
              </c:numCache>
            </c:numRef>
          </c:yVal>
        </c:ser>
        <c:ser>
          <c:idx val="0"/>
          <c:order val="2"/>
          <c:tx>
            <c:v>400 C</c:v>
          </c:tx>
          <c:spPr>
            <a:ln w="28575">
              <a:noFill/>
            </a:ln>
          </c:spPr>
          <c:xVal>
            <c:numRef>
              <c:f>'conv and rate'!$AW$2:$BB$2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rate'!$AE$10:$AJ$10</c:f>
              <c:numCache>
                <c:formatCode>General</c:formatCode>
                <c:ptCount val="6"/>
                <c:pt idx="0">
                  <c:v>0.22498866447417509</c:v>
                </c:pt>
                <c:pt idx="1">
                  <c:v>0.20504487254977913</c:v>
                </c:pt>
                <c:pt idx="2">
                  <c:v>0.27112757348864258</c:v>
                </c:pt>
                <c:pt idx="3">
                  <c:v>0.21787603987175988</c:v>
                </c:pt>
                <c:pt idx="4">
                  <c:v>0.23303504847128995</c:v>
                </c:pt>
                <c:pt idx="5">
                  <c:v>0.19549942745027241</c:v>
                </c:pt>
              </c:numCache>
            </c:numRef>
          </c:yVal>
        </c:ser>
        <c:ser>
          <c:idx val="1"/>
          <c:order val="3"/>
          <c:tx>
            <c:v>375 C</c:v>
          </c:tx>
          <c:spPr>
            <a:ln w="28575">
              <a:noFill/>
            </a:ln>
          </c:spPr>
          <c:xVal>
            <c:numRef>
              <c:f>'conv and rate'!$AW$2:$BB$2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rate'!$AE$8:$AJ$8</c:f>
              <c:numCache>
                <c:formatCode>General</c:formatCode>
                <c:ptCount val="6"/>
                <c:pt idx="0">
                  <c:v>0.1092802084588851</c:v>
                </c:pt>
                <c:pt idx="1">
                  <c:v>7.6075565770857584E-2</c:v>
                </c:pt>
                <c:pt idx="2">
                  <c:v>0.17922038878326227</c:v>
                </c:pt>
                <c:pt idx="3">
                  <c:v>0.11380132439730316</c:v>
                </c:pt>
                <c:pt idx="4">
                  <c:v>0.17963118319661961</c:v>
                </c:pt>
                <c:pt idx="5">
                  <c:v>6.9193617580714517E-2</c:v>
                </c:pt>
              </c:numCache>
            </c:numRef>
          </c:yVal>
        </c:ser>
        <c:axId val="85968768"/>
        <c:axId val="270016896"/>
      </c:scatterChart>
      <c:valAx>
        <c:axId val="85968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926069136627646"/>
              <c:y val="0.9341116360455098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70016896"/>
        <c:crosses val="autoZero"/>
        <c:crossBetween val="midCat"/>
      </c:valAx>
      <c:valAx>
        <c:axId val="2700168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Acetic acid conversion rate</a:t>
                </a:r>
              </a:p>
              <a:p>
                <a:pPr>
                  <a:defRPr sz="1200" b="0"/>
                </a:pPr>
                <a:r>
                  <a:rPr lang="en-GB" sz="1200" b="0"/>
                  <a:t>(mmol /min /g /m</a:t>
                </a:r>
                <a:r>
                  <a:rPr lang="en-GB" sz="1200" b="0" baseline="30000"/>
                  <a:t>2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8.3920804585280537E-3"/>
              <c:y val="0.2118569845435989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596876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1520231481481478"/>
          <c:y val="0.12189949494949495"/>
          <c:w val="0.21726805555555817"/>
          <c:h val="0.34769583333333326"/>
        </c:manualLayout>
      </c:layout>
      <c:spPr>
        <a:solidFill>
          <a:schemeClr val="bg1"/>
        </a:solidFill>
      </c:sp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108222653072889"/>
          <c:y val="5.1400632968372384E-2"/>
          <c:w val="0.83186332617513725"/>
          <c:h val="0.79095290172059951"/>
        </c:manualLayout>
      </c:layout>
      <c:scatterChart>
        <c:scatterStyle val="lineMarker"/>
        <c:ser>
          <c:idx val="0"/>
          <c:order val="0"/>
          <c:tx>
            <c:strRef>
              <c:f>'conv and rate'!$AD$3</c:f>
              <c:strCache>
                <c:ptCount val="1"/>
                <c:pt idx="0">
                  <c:v>Fe3O4/SiO2 (6.3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rate'!$AC$5:$AC$13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rate'!$AD$5:$AD$13</c:f>
              <c:numCache>
                <c:formatCode>General</c:formatCode>
                <c:ptCount val="9"/>
                <c:pt idx="0">
                  <c:v>3.7248836417300311E-3</c:v>
                </c:pt>
                <c:pt idx="1">
                  <c:v>2.4418681651341423E-2</c:v>
                </c:pt>
                <c:pt idx="2">
                  <c:v>4.8216549362394494E-2</c:v>
                </c:pt>
                <c:pt idx="3">
                  <c:v>9.0638835282097791E-2</c:v>
                </c:pt>
                <c:pt idx="4">
                  <c:v>0.13099174140084008</c:v>
                </c:pt>
                <c:pt idx="5">
                  <c:v>0.16168754178176356</c:v>
                </c:pt>
                <c:pt idx="6">
                  <c:v>0.22514852234457183</c:v>
                </c:pt>
                <c:pt idx="7">
                  <c:v>0.31413185378590069</c:v>
                </c:pt>
                <c:pt idx="8">
                  <c:v>0.45526355621145043</c:v>
                </c:pt>
              </c:numCache>
            </c:numRef>
          </c:yVal>
        </c:ser>
        <c:ser>
          <c:idx val="1"/>
          <c:order val="1"/>
          <c:tx>
            <c:strRef>
              <c:f>'conv and rate'!$AE$3</c:f>
              <c:strCache>
                <c:ptCount val="1"/>
                <c:pt idx="0">
                  <c:v>Fe3O4/SiO2 (9.7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rate'!$AC$5:$AC$13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rate'!$AE$5:$AE$13</c:f>
              <c:numCache>
                <c:formatCode>General</c:formatCode>
                <c:ptCount val="9"/>
                <c:pt idx="0">
                  <c:v>7.3318483226567062E-3</c:v>
                </c:pt>
                <c:pt idx="1">
                  <c:v>1.6070618891012588E-2</c:v>
                </c:pt>
                <c:pt idx="2">
                  <c:v>4.0176547227531306E-2</c:v>
                </c:pt>
                <c:pt idx="3">
                  <c:v>0.1092802084588851</c:v>
                </c:pt>
                <c:pt idx="4">
                  <c:v>0.16552737457742892</c:v>
                </c:pt>
                <c:pt idx="5">
                  <c:v>0.22498866447417509</c:v>
                </c:pt>
                <c:pt idx="6">
                  <c:v>0.29071749573841627</c:v>
                </c:pt>
                <c:pt idx="7">
                  <c:v>0.43029082080685987</c:v>
                </c:pt>
                <c:pt idx="8">
                  <c:v>0.66716772560566151</c:v>
                </c:pt>
              </c:numCache>
            </c:numRef>
          </c:yVal>
        </c:ser>
        <c:ser>
          <c:idx val="2"/>
          <c:order val="2"/>
          <c:tx>
            <c:strRef>
              <c:f>'conv and rate'!$AF$3</c:f>
              <c:strCache>
                <c:ptCount val="1"/>
                <c:pt idx="0">
                  <c:v>Fe3O4/SiO2 (16.6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rate'!$AC$5:$AC$13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rate'!$AF$5:$AF$13</c:f>
              <c:numCache>
                <c:formatCode>General</c:formatCode>
                <c:ptCount val="9"/>
                <c:pt idx="0">
                  <c:v>8.5979537852615192E-3</c:v>
                </c:pt>
                <c:pt idx="1">
                  <c:v>1.8937265299183478E-2</c:v>
                </c:pt>
                <c:pt idx="2">
                  <c:v>3.1997448264137536E-2</c:v>
                </c:pt>
                <c:pt idx="3">
                  <c:v>7.6075565770857584E-2</c:v>
                </c:pt>
                <c:pt idx="4">
                  <c:v>0.14627404920748571</c:v>
                </c:pt>
                <c:pt idx="5">
                  <c:v>0.20504487254977913</c:v>
                </c:pt>
                <c:pt idx="6">
                  <c:v>0.33662621592169145</c:v>
                </c:pt>
                <c:pt idx="7">
                  <c:v>0.49893980233301155</c:v>
                </c:pt>
                <c:pt idx="8">
                  <c:v>0.56615893153075947</c:v>
                </c:pt>
              </c:numCache>
            </c:numRef>
          </c:yVal>
        </c:ser>
        <c:ser>
          <c:idx val="3"/>
          <c:order val="3"/>
          <c:tx>
            <c:strRef>
              <c:f>'conv and rate'!$AG$3</c:f>
              <c:strCache>
                <c:ptCount val="1"/>
                <c:pt idx="0">
                  <c:v>Fe3O4/SiO2 (18.3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rate'!$AC$5:$AC$13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rate'!$AG$5:$AG$13</c:f>
              <c:numCache>
                <c:formatCode>General</c:formatCode>
                <c:ptCount val="9"/>
                <c:pt idx="0">
                  <c:v>0</c:v>
                </c:pt>
                <c:pt idx="1">
                  <c:v>3.4466572872288263E-2</c:v>
                </c:pt>
                <c:pt idx="2">
                  <c:v>5.2848009813364322E-2</c:v>
                </c:pt>
                <c:pt idx="3">
                  <c:v>0.17922038878326227</c:v>
                </c:pt>
                <c:pt idx="4">
                  <c:v>0.23436469960649042</c:v>
                </c:pt>
                <c:pt idx="5">
                  <c:v>0.27112757348864258</c:v>
                </c:pt>
                <c:pt idx="6">
                  <c:v>0.37061710093221673</c:v>
                </c:pt>
                <c:pt idx="7">
                  <c:v>0.53122490620486873</c:v>
                </c:pt>
                <c:pt idx="8">
                  <c:v>0.78442920006819139</c:v>
                </c:pt>
              </c:numCache>
            </c:numRef>
          </c:yVal>
        </c:ser>
        <c:ser>
          <c:idx val="6"/>
          <c:order val="4"/>
          <c:tx>
            <c:strRef>
              <c:f>'conv and rate'!$AH$3</c:f>
              <c:strCache>
                <c:ptCount val="1"/>
                <c:pt idx="0">
                  <c:v>Fe3O4/SiO2 (27.8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rate'!$AC$5:$AC$13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rate'!$AH$5:$AH$13</c:f>
              <c:numCache>
                <c:formatCode>General</c:formatCode>
                <c:ptCount val="9"/>
                <c:pt idx="0">
                  <c:v>0</c:v>
                </c:pt>
                <c:pt idx="1">
                  <c:v>2.9179826768539335E-2</c:v>
                </c:pt>
                <c:pt idx="2">
                  <c:v>5.4469009967939915E-2</c:v>
                </c:pt>
                <c:pt idx="3">
                  <c:v>0.11380132439730316</c:v>
                </c:pt>
                <c:pt idx="4">
                  <c:v>0.17118831704209708</c:v>
                </c:pt>
                <c:pt idx="5">
                  <c:v>0.21787603987175988</c:v>
                </c:pt>
                <c:pt idx="6">
                  <c:v>0.26456376270142279</c:v>
                </c:pt>
                <c:pt idx="7">
                  <c:v>0.42408014903610414</c:v>
                </c:pt>
                <c:pt idx="8">
                  <c:v>0.84504778321689733</c:v>
                </c:pt>
              </c:numCache>
            </c:numRef>
          </c:yVal>
        </c:ser>
        <c:ser>
          <c:idx val="5"/>
          <c:order val="5"/>
          <c:tx>
            <c:strRef>
              <c:f>'conv and rate'!$AI$3</c:f>
              <c:strCache>
                <c:ptCount val="1"/>
                <c:pt idx="0">
                  <c:v>Fe3O4/SiO2 (38.9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rate'!$AC$5:$AC$13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rate'!$AI$5:$AI$13</c:f>
              <c:numCache>
                <c:formatCode>General</c:formatCode>
                <c:ptCount val="9"/>
                <c:pt idx="0">
                  <c:v>0</c:v>
                </c:pt>
                <c:pt idx="1">
                  <c:v>2.1847035794183248E-2</c:v>
                </c:pt>
                <c:pt idx="2">
                  <c:v>1.4564690529455297E-2</c:v>
                </c:pt>
                <c:pt idx="3">
                  <c:v>0.17963118319661961</c:v>
                </c:pt>
                <c:pt idx="4">
                  <c:v>0.22818015162813832</c:v>
                </c:pt>
                <c:pt idx="5">
                  <c:v>0.23303504847128995</c:v>
                </c:pt>
                <c:pt idx="6">
                  <c:v>0.3058585011185681</c:v>
                </c:pt>
                <c:pt idx="7">
                  <c:v>0.57773272433507328</c:v>
                </c:pt>
                <c:pt idx="8">
                  <c:v>0.87169672818791921</c:v>
                </c:pt>
              </c:numCache>
            </c:numRef>
          </c:yVal>
        </c:ser>
        <c:ser>
          <c:idx val="4"/>
          <c:order val="6"/>
          <c:tx>
            <c:strRef>
              <c:f>'conv and rate'!$AJ$3</c:f>
              <c:strCache>
                <c:ptCount val="1"/>
                <c:pt idx="0">
                  <c:v>Fe3O4/SiO2 (44.7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rate'!$AC$5:$AC$13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rate'!$AJ$5:$AJ$13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4.4481611301887908E-2</c:v>
                </c:pt>
                <c:pt idx="3">
                  <c:v>6.9193617580714517E-2</c:v>
                </c:pt>
                <c:pt idx="4">
                  <c:v>0.13509230099091854</c:v>
                </c:pt>
                <c:pt idx="5">
                  <c:v>0.19549942745027241</c:v>
                </c:pt>
                <c:pt idx="6">
                  <c:v>0.18451631354857145</c:v>
                </c:pt>
                <c:pt idx="7">
                  <c:v>0.39456836691859737</c:v>
                </c:pt>
                <c:pt idx="8">
                  <c:v>0.65074949867576604</c:v>
                </c:pt>
              </c:numCache>
            </c:numRef>
          </c:yVal>
        </c:ser>
        <c:axId val="86567552"/>
        <c:axId val="91095808"/>
      </c:scatterChart>
      <c:valAx>
        <c:axId val="86567552"/>
        <c:scaling>
          <c:orientation val="minMax"/>
          <c:max val="450"/>
          <c:min val="3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General" sourceLinked="1"/>
        <c:tickLblPos val="nextTo"/>
        <c:crossAx val="91095808"/>
        <c:crosses val="autoZero"/>
        <c:crossBetween val="midCat"/>
      </c:valAx>
      <c:valAx>
        <c:axId val="91095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acetica acid</a:t>
                </a:r>
                <a:r>
                  <a:rPr lang="en-GB" baseline="0"/>
                  <a:t> </a:t>
                </a:r>
                <a:r>
                  <a:rPr lang="en-GB"/>
                  <a:t>rate (mmol /min /g /m</a:t>
                </a:r>
                <a:r>
                  <a:rPr lang="en-GB" baseline="30000"/>
                  <a:t>2</a:t>
                </a:r>
                <a:r>
                  <a:rPr lang="en-GB"/>
                  <a:t>  Fe</a:t>
                </a:r>
                <a:r>
                  <a:rPr lang="en-GB" baseline="30000"/>
                  <a:t>3</a:t>
                </a:r>
                <a:r>
                  <a:rPr lang="en-GB"/>
                  <a:t>O</a:t>
                </a:r>
                <a:r>
                  <a:rPr lang="en-GB" baseline="30000"/>
                  <a:t>4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1.7193537283249429E-2"/>
              <c:y val="7.170571666346584E-2"/>
            </c:manualLayout>
          </c:layout>
        </c:title>
        <c:numFmt formatCode="General" sourceLinked="1"/>
        <c:tickLblPos val="nextTo"/>
        <c:crossAx val="86567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26684164479441"/>
          <c:y val="5.5555555555555455E-2"/>
          <c:w val="0.4001513888888889"/>
          <c:h val="0.40595227272727485"/>
        </c:manualLayout>
      </c:layout>
      <c:spPr>
        <a:solidFill>
          <a:sysClr val="window" lastClr="FFFFFF"/>
        </a:solidFill>
      </c:sp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/m</a:t>
            </a:r>
            <a:r>
              <a:rPr lang="en-GB" sz="1200" b="0" baseline="30000"/>
              <a:t>2</a:t>
            </a:r>
            <a:r>
              <a:rPr lang="en-GB" sz="1200" b="0"/>
              <a:t>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400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22206085858585856"/>
          <c:y val="1.276083333333355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572527777777779"/>
          <c:y val="9.3319166666666745E-2"/>
          <c:w val="0.74309416666666661"/>
          <c:h val="0.73139888888890003"/>
        </c:manualLayout>
      </c:layout>
      <c:scatterChart>
        <c:scatterStyle val="lineMarker"/>
        <c:ser>
          <c:idx val="0"/>
          <c:order val="0"/>
          <c:tx>
            <c:v>Fe3O4/SiO2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rate'!$AV$2:$BB$2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rate'!$AD$10:$AJ$10</c:f>
              <c:numCache>
                <c:formatCode>General</c:formatCode>
                <c:ptCount val="7"/>
                <c:pt idx="0">
                  <c:v>0.16168754178176356</c:v>
                </c:pt>
                <c:pt idx="1">
                  <c:v>0.22498866447417509</c:v>
                </c:pt>
                <c:pt idx="2">
                  <c:v>0.20504487254977913</c:v>
                </c:pt>
                <c:pt idx="3">
                  <c:v>0.27112757348864258</c:v>
                </c:pt>
                <c:pt idx="4">
                  <c:v>0.21787603987175988</c:v>
                </c:pt>
                <c:pt idx="5">
                  <c:v>0.23303504847128995</c:v>
                </c:pt>
                <c:pt idx="6">
                  <c:v>0.19549942745027241</c:v>
                </c:pt>
              </c:numCache>
            </c:numRef>
          </c:yVal>
        </c:ser>
        <c:axId val="91120768"/>
        <c:axId val="91123072"/>
      </c:scatterChart>
      <c:valAx>
        <c:axId val="91120768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47308080808083"/>
              <c:y val="0.915843055555566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123072"/>
        <c:crosses val="autoZero"/>
        <c:crossBetween val="midCat"/>
      </c:valAx>
      <c:valAx>
        <c:axId val="911230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Acetic acid conversion rate</a:t>
                </a:r>
              </a:p>
              <a:p>
                <a:pPr>
                  <a:defRPr b="0"/>
                </a:pPr>
                <a:r>
                  <a:rPr lang="en-GB" b="0"/>
                  <a:t>(mmol /min /g /m</a:t>
                </a:r>
                <a:r>
                  <a:rPr lang="en-GB" b="0" baseline="30000"/>
                  <a:t>2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9.5603205576160546E-3"/>
              <c:y val="0.2007144444444469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12076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410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18700611111111246"/>
          <c:y val="1.452472222222222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398810547507594"/>
          <c:y val="9.3319139828551459E-2"/>
          <c:w val="0.75720525348372236"/>
          <c:h val="0.731398888888900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rate'!$U$2:$AA$2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rate'!$U$11:$AA$11</c:f>
              <c:numCache>
                <c:formatCode>General</c:formatCode>
                <c:ptCount val="7"/>
                <c:pt idx="0">
                  <c:v>41.427328111401216</c:v>
                </c:pt>
                <c:pt idx="1">
                  <c:v>34.74074074074074</c:v>
                </c:pt>
                <c:pt idx="2">
                  <c:v>23.496509871334062</c:v>
                </c:pt>
                <c:pt idx="3">
                  <c:v>23.49712419910254</c:v>
                </c:pt>
                <c:pt idx="4">
                  <c:v>11.032308904649332</c:v>
                </c:pt>
                <c:pt idx="5">
                  <c:v>9.1145833333333304</c:v>
                </c:pt>
                <c:pt idx="6">
                  <c:v>4.7789725209080007</c:v>
                </c:pt>
              </c:numCache>
            </c:numRef>
          </c:yVal>
        </c:ser>
        <c:axId val="91155072"/>
        <c:axId val="91169920"/>
      </c:scatterChart>
      <c:valAx>
        <c:axId val="91155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6239750000000032"/>
              <c:y val="0.91584305555556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169920"/>
        <c:crosses val="autoZero"/>
        <c:crossBetween val="midCat"/>
        <c:majorUnit val="10"/>
      </c:valAx>
      <c:valAx>
        <c:axId val="911699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Acetic acid reaction rate</a:t>
                </a:r>
              </a:p>
              <a:p>
                <a:pPr>
                  <a:defRPr b="0"/>
                </a:pPr>
                <a:r>
                  <a:rPr lang="en-GB" b="0"/>
                  <a:t>(mmol /min /g 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1374999999999988E-3"/>
              <c:y val="0.2212930555555555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155072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3157027777778217"/>
          <c:y val="0.10970888888888899"/>
          <c:w val="0.50754166666666667"/>
          <c:h val="0.17626759259259531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454500000000051"/>
          <c:y val="6.5096944444444957E-2"/>
          <c:w val="0.75897527777777885"/>
          <c:h val="0.7560933333333385"/>
        </c:manualLayout>
      </c:layout>
      <c:scatterChart>
        <c:scatterStyle val="lineMarker"/>
        <c:ser>
          <c:idx val="0"/>
          <c:order val="0"/>
          <c:tx>
            <c:v>6.3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rate'!$B$5:$B$13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rate'!$C$5:$C$13</c:f>
              <c:numCache>
                <c:formatCode>General</c:formatCode>
                <c:ptCount val="9"/>
                <c:pt idx="0">
                  <c:v>0.78328981723237234</c:v>
                </c:pt>
                <c:pt idx="1">
                  <c:v>5.1348999129677964</c:v>
                </c:pt>
                <c:pt idx="2">
                  <c:v>10.139251523063528</c:v>
                </c:pt>
                <c:pt idx="3">
                  <c:v>19.06005221932114</c:v>
                </c:pt>
                <c:pt idx="4">
                  <c:v>27.545691906005224</c:v>
                </c:pt>
                <c:pt idx="5">
                  <c:v>34.000580214679424</c:v>
                </c:pt>
                <c:pt idx="6">
                  <c:v>47.345517841601392</c:v>
                </c:pt>
                <c:pt idx="7">
                  <c:v>66.05744125326369</c:v>
                </c:pt>
                <c:pt idx="8">
                  <c:v>95.735422106179286</c:v>
                </c:pt>
              </c:numCache>
            </c:numRef>
          </c:yVal>
        </c:ser>
        <c:ser>
          <c:idx val="2"/>
          <c:order val="2"/>
          <c:tx>
            <c:v>16.6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rate'!$B$5:$B$13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rate'!$E$5:$E$13</c:f>
              <c:numCache>
                <c:formatCode>General</c:formatCode>
                <c:ptCount val="9"/>
                <c:pt idx="0">
                  <c:v>1.2345679012345794</c:v>
                </c:pt>
                <c:pt idx="1">
                  <c:v>2.7191748710736143</c:v>
                </c:pt>
                <c:pt idx="2">
                  <c:v>4.5944678856071306</c:v>
                </c:pt>
                <c:pt idx="3">
                  <c:v>10.923581809657767</c:v>
                </c:pt>
                <c:pt idx="4">
                  <c:v>21.003281762775433</c:v>
                </c:pt>
                <c:pt idx="5">
                  <c:v>29.442100328176281</c:v>
                </c:pt>
                <c:pt idx="6">
                  <c:v>48.335677449601498</c:v>
                </c:pt>
                <c:pt idx="7">
                  <c:v>71.64205344585092</c:v>
                </c:pt>
                <c:pt idx="8">
                  <c:v>81.293952180028128</c:v>
                </c:pt>
              </c:numCache>
            </c:numRef>
          </c:yVal>
        </c:ser>
        <c:ser>
          <c:idx val="3"/>
          <c:order val="3"/>
          <c:tx>
            <c:v>18.3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rate'!$B$5:$B$13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rate'!$F$5:$F$13</c:f>
              <c:numCache>
                <c:formatCode>General</c:formatCode>
                <c:ptCount val="9"/>
                <c:pt idx="0">
                  <c:v>0</c:v>
                </c:pt>
                <c:pt idx="1">
                  <c:v>3.5212626461089562</c:v>
                </c:pt>
                <c:pt idx="2">
                  <c:v>5.3991942734353033</c:v>
                </c:pt>
                <c:pt idx="3">
                  <c:v>18.309974211303938</c:v>
                </c:pt>
                <c:pt idx="4">
                  <c:v>23.943769093282977</c:v>
                </c:pt>
                <c:pt idx="5">
                  <c:v>27.699632347935673</c:v>
                </c:pt>
                <c:pt idx="6">
                  <c:v>37.863937280839515</c:v>
                </c:pt>
                <c:pt idx="7">
                  <c:v>54.272364874603461</c:v>
                </c:pt>
                <c:pt idx="8">
                  <c:v>80.14087304102388</c:v>
                </c:pt>
              </c:numCache>
            </c:numRef>
          </c:yVal>
        </c:ser>
        <c:ser>
          <c:idx val="4"/>
          <c:order val="4"/>
          <c:tx>
            <c:v>27.8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79646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rate'!$B$5:$B$13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rate'!$G$5:$G$13</c:f>
              <c:numCache>
                <c:formatCode>General</c:formatCode>
                <c:ptCount val="9"/>
                <c:pt idx="0">
                  <c:v>0</c:v>
                </c:pt>
                <c:pt idx="1">
                  <c:v>1.7730496453900741</c:v>
                </c:pt>
                <c:pt idx="2">
                  <c:v>3.3096926713947945</c:v>
                </c:pt>
                <c:pt idx="3">
                  <c:v>6.9148936170212743</c:v>
                </c:pt>
                <c:pt idx="4">
                  <c:v>10.401891252955082</c:v>
                </c:pt>
                <c:pt idx="5">
                  <c:v>13.238770685579192</c:v>
                </c:pt>
                <c:pt idx="6">
                  <c:v>16.07565011820331</c:v>
                </c:pt>
                <c:pt idx="7">
                  <c:v>25.768321513002363</c:v>
                </c:pt>
                <c:pt idx="8">
                  <c:v>51.347517730496449</c:v>
                </c:pt>
              </c:numCache>
            </c:numRef>
          </c:yVal>
        </c:ser>
        <c:ser>
          <c:idx val="5"/>
          <c:order val="5"/>
          <c:tx>
            <c:v>38.9 nm</c:v>
          </c:tx>
          <c:spPr>
            <a:ln w="28575">
              <a:noFill/>
            </a:ln>
          </c:spPr>
          <c:marker>
            <c:spPr>
              <a:solidFill>
                <a:sysClr val="window" lastClr="FFFFFF">
                  <a:lumMod val="65000"/>
                </a:sysClr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rate'!$B$5:$B$13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rate'!$H$5:$H$13</c:f>
              <c:numCache>
                <c:formatCode>General</c:formatCode>
                <c:ptCount val="9"/>
                <c:pt idx="0">
                  <c:v>0</c:v>
                </c:pt>
                <c:pt idx="1">
                  <c:v>1.0416666666666572</c:v>
                </c:pt>
                <c:pt idx="2">
                  <c:v>0.69444444444442865</c:v>
                </c:pt>
                <c:pt idx="3">
                  <c:v>8.5648148148148238</c:v>
                </c:pt>
                <c:pt idx="4">
                  <c:v>10.879629629629633</c:v>
                </c:pt>
                <c:pt idx="5">
                  <c:v>11.111111111111105</c:v>
                </c:pt>
                <c:pt idx="6">
                  <c:v>14.583333333333329</c:v>
                </c:pt>
                <c:pt idx="7">
                  <c:v>27.546296296296291</c:v>
                </c:pt>
                <c:pt idx="8">
                  <c:v>41.562499999999993</c:v>
                </c:pt>
              </c:numCache>
            </c:numRef>
          </c:yVal>
        </c:ser>
        <c:ser>
          <c:idx val="6"/>
          <c:order val="6"/>
          <c:tx>
            <c:v>44.7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rate'!$B$5:$B$13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rate'!$I$5:$I$13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2.0737327188940142</c:v>
                </c:pt>
                <c:pt idx="3">
                  <c:v>3.225806451612911</c:v>
                </c:pt>
                <c:pt idx="4">
                  <c:v>6.2980030721966216</c:v>
                </c:pt>
                <c:pt idx="5">
                  <c:v>9.1141833077317003</c:v>
                </c:pt>
                <c:pt idx="6">
                  <c:v>8.602150537634401</c:v>
                </c:pt>
                <c:pt idx="7">
                  <c:v>18.394777265745009</c:v>
                </c:pt>
                <c:pt idx="8">
                  <c:v>30.337941628264215</c:v>
                </c:pt>
              </c:numCache>
            </c:numRef>
          </c:yVal>
        </c:ser>
        <c:axId val="91384832"/>
        <c:axId val="91403776"/>
      </c:scatterChart>
      <c:scatterChart>
        <c:scatterStyle val="lineMarker"/>
        <c:ser>
          <c:idx val="1"/>
          <c:order val="1"/>
          <c:tx>
            <c:v>9.7 nm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rate'!$B$5:$B$13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rate'!$D$5:$D$13</c:f>
              <c:numCache>
                <c:formatCode>General</c:formatCode>
                <c:ptCount val="9"/>
                <c:pt idx="0">
                  <c:v>1.013837511987937</c:v>
                </c:pt>
                <c:pt idx="1">
                  <c:v>2.2222222222222334</c:v>
                </c:pt>
                <c:pt idx="2">
                  <c:v>5.5555555555555616</c:v>
                </c:pt>
                <c:pt idx="3">
                  <c:v>15.11111111111112</c:v>
                </c:pt>
                <c:pt idx="4">
                  <c:v>22.888888888888903</c:v>
                </c:pt>
                <c:pt idx="5">
                  <c:v>31.111111111111114</c:v>
                </c:pt>
                <c:pt idx="6">
                  <c:v>40.200000000000003</c:v>
                </c:pt>
                <c:pt idx="7">
                  <c:v>59.5</c:v>
                </c:pt>
                <c:pt idx="8">
                  <c:v>92.25500000000001</c:v>
                </c:pt>
              </c:numCache>
            </c:numRef>
          </c:yVal>
        </c:ser>
        <c:axId val="91411584"/>
        <c:axId val="91405696"/>
      </c:scatterChart>
      <c:valAx>
        <c:axId val="91384832"/>
        <c:scaling>
          <c:orientation val="minMax"/>
          <c:max val="450"/>
          <c:min val="3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Reaction temperature</a:t>
                </a:r>
                <a:r>
                  <a:rPr lang="en-GB" baseline="0"/>
                  <a:t> (</a:t>
                </a:r>
                <a:r>
                  <a:rPr lang="en-GB" baseline="30000"/>
                  <a:t>o</a:t>
                </a:r>
                <a:r>
                  <a:rPr lang="en-GB" baseline="0"/>
                  <a:t>C)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2359194444444683"/>
              <c:y val="0.9193708333333394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1403776"/>
        <c:crosses val="autoZero"/>
        <c:crossBetween val="midCat"/>
        <c:majorUnit val="25"/>
      </c:valAx>
      <c:valAx>
        <c:axId val="91403776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Conversion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2376648504152611E-2"/>
              <c:y val="0.2755220939848281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1384832"/>
        <c:crosses val="autoZero"/>
        <c:crossBetween val="midCat"/>
      </c:valAx>
      <c:valAx>
        <c:axId val="91405696"/>
        <c:scaling>
          <c:orientation val="minMax"/>
        </c:scaling>
        <c:delete val="1"/>
        <c:axPos val="r"/>
        <c:numFmt formatCode="General" sourceLinked="1"/>
        <c:tickLblPos val="none"/>
        <c:crossAx val="91411584"/>
        <c:crosses val="max"/>
        <c:crossBetween val="midCat"/>
      </c:valAx>
      <c:valAx>
        <c:axId val="91411584"/>
        <c:scaling>
          <c:orientation val="minMax"/>
        </c:scaling>
        <c:delete val="1"/>
        <c:axPos val="b"/>
        <c:numFmt formatCode="General" sourceLinked="1"/>
        <c:tickLblPos val="none"/>
        <c:crossAx val="91405696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20108333333333353"/>
          <c:y val="8.5607222222222376E-2"/>
          <c:w val="0.28728138888888888"/>
          <c:h val="0.47600777777777836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'conv and rate'!$K$30:$K$38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rate'!$L$30:$L$38</c:f>
              <c:numCache>
                <c:formatCode>General</c:formatCode>
                <c:ptCount val="9"/>
                <c:pt idx="0">
                  <c:v>2.7415143603133029E-2</c:v>
                </c:pt>
                <c:pt idx="1">
                  <c:v>0.17972149695387288</c:v>
                </c:pt>
                <c:pt idx="2">
                  <c:v>0.35487380330722346</c:v>
                </c:pt>
                <c:pt idx="3">
                  <c:v>0.66710182767623982</c:v>
                </c:pt>
                <c:pt idx="4">
                  <c:v>0.96409921671018295</c:v>
                </c:pt>
                <c:pt idx="5">
                  <c:v>1.1900203075137799</c:v>
                </c:pt>
                <c:pt idx="6">
                  <c:v>1.6570931244560487</c:v>
                </c:pt>
                <c:pt idx="7">
                  <c:v>2.3120104438642293</c:v>
                </c:pt>
                <c:pt idx="8">
                  <c:v>3.350739773716275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'conv and rate'!$K$30:$K$38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rate'!$M$30:$M$38</c:f>
              <c:numCache>
                <c:formatCode>General</c:formatCode>
                <c:ptCount val="9"/>
                <c:pt idx="0">
                  <c:v>7.0968625839155586E-2</c:v>
                </c:pt>
                <c:pt idx="1">
                  <c:v>0.15555555555555634</c:v>
                </c:pt>
                <c:pt idx="2">
                  <c:v>0.38888888888888928</c:v>
                </c:pt>
                <c:pt idx="3">
                  <c:v>1.0577777777777784</c:v>
                </c:pt>
                <c:pt idx="4">
                  <c:v>1.6022222222222231</c:v>
                </c:pt>
                <c:pt idx="5">
                  <c:v>2.177777777777778</c:v>
                </c:pt>
                <c:pt idx="6">
                  <c:v>2.8140000000000001</c:v>
                </c:pt>
                <c:pt idx="7">
                  <c:v>4.165</c:v>
                </c:pt>
                <c:pt idx="8">
                  <c:v>6.4578500000000005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'conv and rate'!$K$30:$K$38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rate'!$N$30:$N$38</c:f>
              <c:numCache>
                <c:formatCode>General</c:formatCode>
                <c:ptCount val="9"/>
                <c:pt idx="0">
                  <c:v>8.6419753086420567E-2</c:v>
                </c:pt>
                <c:pt idx="1">
                  <c:v>0.19034224097515298</c:v>
                </c:pt>
                <c:pt idx="2">
                  <c:v>0.32161275199249917</c:v>
                </c:pt>
                <c:pt idx="3">
                  <c:v>0.76465072667604372</c:v>
                </c:pt>
                <c:pt idx="4">
                  <c:v>1.4702297233942803</c:v>
                </c:pt>
                <c:pt idx="5">
                  <c:v>2.0609470229723397</c:v>
                </c:pt>
                <c:pt idx="6">
                  <c:v>3.383497421472105</c:v>
                </c:pt>
                <c:pt idx="7">
                  <c:v>5.0149437412095645</c:v>
                </c:pt>
                <c:pt idx="8">
                  <c:v>5.690576652601969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xVal>
            <c:numRef>
              <c:f>'conv and rate'!$K$30:$K$38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rate'!$O$30:$O$38</c:f>
              <c:numCache>
                <c:formatCode>General</c:formatCode>
                <c:ptCount val="9"/>
                <c:pt idx="0">
                  <c:v>0</c:v>
                </c:pt>
                <c:pt idx="1">
                  <c:v>0.53584431571223246</c:v>
                </c:pt>
                <c:pt idx="2">
                  <c:v>0.82161651987058959</c:v>
                </c:pt>
                <c:pt idx="3">
                  <c:v>2.786300423459295</c:v>
                </c:pt>
                <c:pt idx="4">
                  <c:v>3.643617035934366</c:v>
                </c:pt>
                <c:pt idx="5">
                  <c:v>4.2151614442510805</c:v>
                </c:pt>
                <c:pt idx="6">
                  <c:v>5.761903499258187</c:v>
                </c:pt>
                <c:pt idx="7">
                  <c:v>8.2588381330918299</c:v>
                </c:pt>
                <c:pt idx="8">
                  <c:v>12.195350245373199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xVal>
            <c:numRef>
              <c:f>'conv and rate'!$K$30:$K$38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rate'!$P$30:$P$38</c:f>
              <c:numCache>
                <c:formatCode>General</c:formatCode>
                <c:ptCount val="9"/>
                <c:pt idx="0">
                  <c:v>0</c:v>
                </c:pt>
                <c:pt idx="1">
                  <c:v>0.4137115839243507</c:v>
                </c:pt>
                <c:pt idx="2">
                  <c:v>0.77226162332545212</c:v>
                </c:pt>
                <c:pt idx="3">
                  <c:v>1.613475177304964</c:v>
                </c:pt>
                <c:pt idx="4">
                  <c:v>2.4271079590228526</c:v>
                </c:pt>
                <c:pt idx="5">
                  <c:v>3.089046493301812</c:v>
                </c:pt>
                <c:pt idx="6">
                  <c:v>3.7509850275807728</c:v>
                </c:pt>
                <c:pt idx="7">
                  <c:v>6.012608353033885</c:v>
                </c:pt>
                <c:pt idx="8">
                  <c:v>11.981087470449172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xVal>
            <c:numRef>
              <c:f>'conv and rate'!$K$30:$K$38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rate'!$Q$30:$Q$38</c:f>
              <c:numCache>
                <c:formatCode>General</c:formatCode>
                <c:ptCount val="9"/>
                <c:pt idx="0">
                  <c:v>0</c:v>
                </c:pt>
                <c:pt idx="1">
                  <c:v>0.36458333333332998</c:v>
                </c:pt>
                <c:pt idx="2">
                  <c:v>0.24305555555555</c:v>
                </c:pt>
                <c:pt idx="3">
                  <c:v>2.9976851851851882</c:v>
                </c:pt>
                <c:pt idx="4">
                  <c:v>3.807870370370372</c:v>
                </c:pt>
                <c:pt idx="5">
                  <c:v>3.8888888888888866</c:v>
                </c:pt>
                <c:pt idx="6">
                  <c:v>5.1041666666666652</c:v>
                </c:pt>
                <c:pt idx="7">
                  <c:v>9.6412037037037024</c:v>
                </c:pt>
                <c:pt idx="8">
                  <c:v>14.546874999999996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xVal>
            <c:numRef>
              <c:f>'conv and rate'!$K$30:$K$38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rate'!$R$30:$R$38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0.72580645161290491</c:v>
                </c:pt>
                <c:pt idx="3">
                  <c:v>1.1290322580645187</c:v>
                </c:pt>
                <c:pt idx="4">
                  <c:v>2.2043010752688175</c:v>
                </c:pt>
                <c:pt idx="5">
                  <c:v>3.1899641577060946</c:v>
                </c:pt>
                <c:pt idx="6">
                  <c:v>3.0107526881720403</c:v>
                </c:pt>
                <c:pt idx="7">
                  <c:v>6.438172043010753</c:v>
                </c:pt>
                <c:pt idx="8">
                  <c:v>10.618279569892474</c:v>
                </c:pt>
              </c:numCache>
            </c:numRef>
          </c:yVal>
        </c:ser>
        <c:axId val="91238400"/>
        <c:axId val="91239936"/>
      </c:scatterChart>
      <c:valAx>
        <c:axId val="91238400"/>
        <c:scaling>
          <c:orientation val="minMax"/>
          <c:max val="450"/>
          <c:min val="300"/>
        </c:scaling>
        <c:axPos val="b"/>
        <c:numFmt formatCode="General" sourceLinked="1"/>
        <c:tickLblPos val="nextTo"/>
        <c:crossAx val="91239936"/>
        <c:crosses val="autoZero"/>
        <c:crossBetween val="midCat"/>
      </c:valAx>
      <c:valAx>
        <c:axId val="91239936"/>
        <c:scaling>
          <c:orientation val="minMax"/>
        </c:scaling>
        <c:axPos val="l"/>
        <c:majorGridlines/>
        <c:numFmt formatCode="General" sourceLinked="1"/>
        <c:tickLblPos val="nextTo"/>
        <c:crossAx val="91238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'conv and rate'!$L$27:$R$27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rate'!$L$35:$R$35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2.177777777777778</c:v>
                </c:pt>
                <c:pt idx="2">
                  <c:v>2.0609470229723397</c:v>
                </c:pt>
                <c:pt idx="3">
                  <c:v>4.2151614442510805</c:v>
                </c:pt>
                <c:pt idx="4">
                  <c:v>3.089046493301812</c:v>
                </c:pt>
                <c:pt idx="5">
                  <c:v>3.8888888888888866</c:v>
                </c:pt>
                <c:pt idx="6">
                  <c:v>3.1899641577060946</c:v>
                </c:pt>
              </c:numCache>
            </c:numRef>
          </c:yVal>
        </c:ser>
        <c:axId val="91284224"/>
        <c:axId val="91285760"/>
      </c:scatterChart>
      <c:valAx>
        <c:axId val="91284224"/>
        <c:scaling>
          <c:orientation val="minMax"/>
        </c:scaling>
        <c:axPos val="b"/>
        <c:numFmt formatCode="General" sourceLinked="1"/>
        <c:tickLblPos val="nextTo"/>
        <c:crossAx val="91285760"/>
        <c:crosses val="autoZero"/>
        <c:crossBetween val="midCat"/>
      </c:valAx>
      <c:valAx>
        <c:axId val="91285760"/>
        <c:scaling>
          <c:orientation val="minMax"/>
        </c:scaling>
        <c:axPos val="l"/>
        <c:majorGridlines/>
        <c:numFmt formatCode="General" sourceLinked="1"/>
        <c:tickLblPos val="nextTo"/>
        <c:crossAx val="912842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425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18700611111111246"/>
          <c:y val="1.452472222222222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398810547507594"/>
          <c:y val="9.3319139828551459E-2"/>
          <c:w val="0.75720525348372236"/>
          <c:h val="0.731398888888900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rate'!$U$2:$AA$2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rate'!$U$12:$AA$12</c:f>
              <c:numCache>
                <c:formatCode>General</c:formatCode>
                <c:ptCount val="7"/>
                <c:pt idx="0">
                  <c:v>57.80026109660573</c:v>
                </c:pt>
                <c:pt idx="1">
                  <c:v>51.419753086419753</c:v>
                </c:pt>
                <c:pt idx="2">
                  <c:v>34.825998202844204</c:v>
                </c:pt>
                <c:pt idx="3">
                  <c:v>33.679659053388676</c:v>
                </c:pt>
                <c:pt idx="4">
                  <c:v>17.684142214805544</c:v>
                </c:pt>
                <c:pt idx="5">
                  <c:v>17.216435185185183</c:v>
                </c:pt>
                <c:pt idx="6">
                  <c:v>10.219320703191672</c:v>
                </c:pt>
              </c:numCache>
            </c:numRef>
          </c:yVal>
        </c:ser>
        <c:axId val="91441408"/>
        <c:axId val="91452160"/>
      </c:scatterChart>
      <c:valAx>
        <c:axId val="9144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6239750000000032"/>
              <c:y val="0.91584305555556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452160"/>
        <c:crosses val="autoZero"/>
        <c:crossBetween val="midCat"/>
        <c:majorUnit val="10"/>
      </c:valAx>
      <c:valAx>
        <c:axId val="91452160"/>
        <c:scaling>
          <c:orientation val="minMax"/>
          <c:max val="4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Acetic acid reaction rate</a:t>
                </a:r>
              </a:p>
              <a:p>
                <a:pPr>
                  <a:defRPr b="0"/>
                </a:pPr>
                <a:r>
                  <a:rPr lang="en-GB" b="0"/>
                  <a:t>(mmol /min /g 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1374999999999988E-3"/>
              <c:y val="0.2212930555555555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44140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390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18700611111111251"/>
          <c:y val="1.452472222222222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219749999999999"/>
          <c:y val="9.3319166666666745E-2"/>
          <c:w val="0.75720525348372292"/>
          <c:h val="0.731398888888900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rate'!$U$2:$AA$2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rate'!$U$9:$AA$9</c:f>
              <c:numCache>
                <c:formatCode>General</c:formatCode>
                <c:ptCount val="7"/>
                <c:pt idx="0">
                  <c:v>24.102480417754574</c:v>
                </c:pt>
                <c:pt idx="1">
                  <c:v>19.780521262002754</c:v>
                </c:pt>
                <c:pt idx="2">
                  <c:v>10.209928634682502</c:v>
                </c:pt>
                <c:pt idx="3">
                  <c:v>14.858721955051493</c:v>
                </c:pt>
                <c:pt idx="4">
                  <c:v>7.1385528206554492</c:v>
                </c:pt>
                <c:pt idx="5">
                  <c:v>6.7997685185185217</c:v>
                </c:pt>
                <c:pt idx="6">
                  <c:v>3.4988905956647898</c:v>
                </c:pt>
              </c:numCache>
            </c:numRef>
          </c:yVal>
        </c:ser>
        <c:axId val="91484160"/>
        <c:axId val="91486464"/>
      </c:scatterChart>
      <c:valAx>
        <c:axId val="9148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6239750000000032"/>
              <c:y val="0.91584305555556023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486464"/>
        <c:crosses val="autoZero"/>
        <c:crossBetween val="midCat"/>
        <c:majorUnit val="10"/>
      </c:valAx>
      <c:valAx>
        <c:axId val="91486464"/>
        <c:scaling>
          <c:orientation val="minMax"/>
          <c:max val="4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Acetic acid reaction rate</a:t>
                </a:r>
              </a:p>
              <a:p>
                <a:pPr>
                  <a:defRPr b="0"/>
                </a:pPr>
                <a:r>
                  <a:rPr lang="en-GB" b="0"/>
                  <a:t>(mmol /min /g 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1374999999999988E-3"/>
              <c:y val="0.2212930555555555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484160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375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18700611111111257"/>
          <c:y val="1.452472222222222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219749999999999"/>
          <c:y val="9.3319166666666745E-2"/>
          <c:w val="0.75720525348372336"/>
          <c:h val="0.7313988888889000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rate'!$U$2:$AA$2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rate'!$U$8:$AA$8</c:f>
              <c:numCache>
                <c:formatCode>General</c:formatCode>
                <c:ptCount val="7"/>
                <c:pt idx="0">
                  <c:v>16.677545691905994</c:v>
                </c:pt>
                <c:pt idx="1">
                  <c:v>13.05898491083677</c:v>
                </c:pt>
                <c:pt idx="2">
                  <c:v>5.3100744908058592</c:v>
                </c:pt>
                <c:pt idx="3">
                  <c:v>11.362572648858828</c:v>
                </c:pt>
                <c:pt idx="4">
                  <c:v>4.7455152273675418</c:v>
                </c:pt>
                <c:pt idx="5">
                  <c:v>5.3530092592592649</c:v>
                </c:pt>
                <c:pt idx="6">
                  <c:v>1.7921146953405058</c:v>
                </c:pt>
              </c:numCache>
            </c:numRef>
          </c:yVal>
        </c:ser>
        <c:axId val="91522560"/>
        <c:axId val="91537408"/>
      </c:scatterChart>
      <c:valAx>
        <c:axId val="91522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6239750000000032"/>
              <c:y val="0.91584305555556045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537408"/>
        <c:crosses val="autoZero"/>
        <c:crossBetween val="midCat"/>
        <c:majorUnit val="10"/>
      </c:valAx>
      <c:valAx>
        <c:axId val="91537408"/>
        <c:scaling>
          <c:orientation val="minMax"/>
          <c:max val="4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Acetic acid reaction rate</a:t>
                </a:r>
              </a:p>
              <a:p>
                <a:pPr>
                  <a:defRPr b="0"/>
                </a:pPr>
                <a:r>
                  <a:rPr lang="en-GB" b="0"/>
                  <a:t>(mmol /min /g 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1374999999999988E-3"/>
              <c:y val="0.2212930555555555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522560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400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17642277777777773"/>
          <c:y val="1.334888888888895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791000000000097"/>
          <c:y val="9.3319139828551459E-2"/>
          <c:w val="0.76328361111111165"/>
          <c:h val="0.73139888888890003"/>
        </c:manualLayout>
      </c:layout>
      <c:scatterChart>
        <c:scatterStyle val="lineMarker"/>
        <c:ser>
          <c:idx val="0"/>
          <c:order val="0"/>
          <c:tx>
            <c:v>Fe3O4/SiO2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rate'!$BE$2:$BK$2</c:f>
              <c:numCache>
                <c:formatCode>General</c:formatCode>
                <c:ptCount val="7"/>
                <c:pt idx="0">
                  <c:v>6.3</c:v>
                </c:pt>
                <c:pt idx="1">
                  <c:v>9</c:v>
                </c:pt>
                <c:pt idx="2">
                  <c:v>16.600000000000001</c:v>
                </c:pt>
                <c:pt idx="3">
                  <c:v>18.100000000000001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rate'!$BE$10:$BK$10</c:f>
              <c:numCache>
                <c:formatCode>General</c:formatCode>
                <c:ptCount val="7"/>
                <c:pt idx="0">
                  <c:v>10.072734788998957</c:v>
                </c:pt>
                <c:pt idx="1">
                  <c:v>8.8654385704442245</c:v>
                </c:pt>
                <c:pt idx="2">
                  <c:v>7.6380616790981577</c:v>
                </c:pt>
                <c:pt idx="3">
                  <c:v>5.6073655910206668</c:v>
                </c:pt>
                <c:pt idx="4">
                  <c:v>2.7981118373275242</c:v>
                </c:pt>
                <c:pt idx="5">
                  <c:v>2.4441421012849585</c:v>
                </c:pt>
                <c:pt idx="6">
                  <c:v>4.2726829680498222</c:v>
                </c:pt>
              </c:numCache>
            </c:numRef>
          </c:yVal>
        </c:ser>
        <c:axId val="91544576"/>
        <c:axId val="91637248"/>
      </c:scatterChart>
      <c:valAx>
        <c:axId val="91544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47308080808083"/>
              <c:y val="0.9158430555555666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637248"/>
        <c:crosses val="autoZero"/>
        <c:crossBetween val="midCat"/>
        <c:majorUnit val="10"/>
      </c:valAx>
      <c:valAx>
        <c:axId val="9163724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production rate</a:t>
                </a:r>
              </a:p>
              <a:p>
                <a:pPr>
                  <a:defRPr b="0"/>
                </a:pPr>
                <a:r>
                  <a:rPr lang="en-GB" b="0"/>
                  <a:t>(mmol /min /g 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8776388888888901E-2"/>
              <c:y val="0.2207050000000000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544576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'conv and rate'!$X$52:$AB$52</c:f>
              <c:numCache>
                <c:formatCode>General</c:formatCode>
                <c:ptCount val="5"/>
                <c:pt idx="0">
                  <c:v>2.5000000000000001E-2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'conv and rate'!$X$62:$AB$62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11.999999999999998</c:v>
                </c:pt>
              </c:numCache>
            </c:numRef>
          </c:yVal>
        </c:ser>
        <c:axId val="270052352"/>
        <c:axId val="270062336"/>
      </c:scatterChart>
      <c:valAx>
        <c:axId val="270052352"/>
        <c:scaling>
          <c:orientation val="minMax"/>
        </c:scaling>
        <c:axPos val="b"/>
        <c:numFmt formatCode="General" sourceLinked="1"/>
        <c:tickLblPos val="nextTo"/>
        <c:crossAx val="270062336"/>
        <c:crosses val="autoZero"/>
        <c:crossBetween val="midCat"/>
      </c:valAx>
      <c:valAx>
        <c:axId val="270062336"/>
        <c:scaling>
          <c:orientation val="minMax"/>
        </c:scaling>
        <c:axPos val="l"/>
        <c:majorGridlines/>
        <c:numFmt formatCode="General" sourceLinked="1"/>
        <c:tickLblPos val="nextTo"/>
        <c:crossAx val="2700523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vs particle size at 400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17000858585858586"/>
          <c:y val="1.334888888888889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5946240762457894"/>
          <c:y val="9.3319166666666745E-2"/>
          <c:w val="0.67373308080808092"/>
          <c:h val="0.73139888888890003"/>
        </c:manualLayout>
      </c:layout>
      <c:scatterChart>
        <c:scatterStyle val="lineMarker"/>
        <c:ser>
          <c:idx val="1"/>
          <c:order val="1"/>
          <c:tx>
            <c:v>Fe3O4/SiO2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chemeClr val="tx1"/>
                </a:solidFill>
              </a:ln>
            </c:spPr>
          </c:marker>
          <c:xVal>
            <c:numRef>
              <c:f>'conv and rate'!$U$2:$AA$2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rate'!$U$10:$AA$10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91671168"/>
        <c:axId val="91677824"/>
      </c:scatterChart>
      <c:scatterChart>
        <c:scatterStyle val="lineMarker"/>
        <c:ser>
          <c:idx val="0"/>
          <c:order val="0"/>
          <c:tx>
            <c:v>Fe3O4/SiO2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rate'!$BE$2:$BK$2</c:f>
              <c:numCache>
                <c:formatCode>General</c:formatCode>
                <c:ptCount val="7"/>
                <c:pt idx="0">
                  <c:v>6.3</c:v>
                </c:pt>
                <c:pt idx="1">
                  <c:v>9</c:v>
                </c:pt>
                <c:pt idx="2">
                  <c:v>16.600000000000001</c:v>
                </c:pt>
                <c:pt idx="3">
                  <c:v>18.100000000000001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rate'!$BE$10:$BK$10</c:f>
              <c:numCache>
                <c:formatCode>General</c:formatCode>
                <c:ptCount val="7"/>
                <c:pt idx="0">
                  <c:v>10.072734788998957</c:v>
                </c:pt>
                <c:pt idx="1">
                  <c:v>8.8654385704442245</c:v>
                </c:pt>
                <c:pt idx="2">
                  <c:v>7.6380616790981577</c:v>
                </c:pt>
                <c:pt idx="3">
                  <c:v>5.6073655910206668</c:v>
                </c:pt>
                <c:pt idx="4">
                  <c:v>2.7981118373275242</c:v>
                </c:pt>
                <c:pt idx="5">
                  <c:v>2.4441421012849585</c:v>
                </c:pt>
                <c:pt idx="6">
                  <c:v>4.2726829680498222</c:v>
                </c:pt>
              </c:numCache>
            </c:numRef>
          </c:yVal>
        </c:ser>
        <c:axId val="91681536"/>
        <c:axId val="91679744"/>
      </c:scatterChart>
      <c:valAx>
        <c:axId val="9167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3574495386658228"/>
              <c:y val="0.91584305555555656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1677824"/>
        <c:crosses val="autoZero"/>
        <c:crossBetween val="midCat"/>
        <c:majorUnit val="10"/>
      </c:valAx>
      <c:valAx>
        <c:axId val="916778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Acid reaction rate (mmol</a:t>
                </a:r>
                <a:r>
                  <a:rPr lang="en-GB" b="0" baseline="0"/>
                  <a:t> </a:t>
                </a:r>
                <a:r>
                  <a:rPr lang="en-GB" b="0"/>
                  <a:t>min</a:t>
                </a:r>
                <a:r>
                  <a:rPr lang="en-GB" b="0" baseline="30000"/>
                  <a:t>-1</a:t>
                </a:r>
                <a:r>
                  <a:rPr lang="en-GB" b="0"/>
                  <a:t> g</a:t>
                </a:r>
                <a:r>
                  <a:rPr lang="en-GB" b="0" baseline="30000"/>
                  <a:t>-1</a:t>
                </a:r>
                <a:r>
                  <a:rPr lang="en-GB" b="0"/>
                  <a:t> 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5624181729056941E-2"/>
              <c:y val="7.7380277777777784E-2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1671168"/>
        <c:crosses val="autoZero"/>
        <c:crossBetween val="midCat"/>
      </c:valAx>
      <c:valAx>
        <c:axId val="91679744"/>
        <c:scaling>
          <c:orientation val="minMax"/>
        </c:scaling>
        <c:axPos val="r"/>
        <c:numFmt formatCode="General" sourceLinked="1"/>
        <c:tickLblPos val="nextTo"/>
        <c:crossAx val="91681536"/>
        <c:crosses val="max"/>
        <c:crossBetween val="midCat"/>
      </c:valAx>
      <c:valAx>
        <c:axId val="91681536"/>
        <c:scaling>
          <c:orientation val="minMax"/>
        </c:scaling>
        <c:delete val="1"/>
        <c:axPos val="b"/>
        <c:numFmt formatCode="General" sourceLinked="1"/>
        <c:tickLblPos val="none"/>
        <c:crossAx val="91679744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400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26276602564102564"/>
          <c:y val="2.745995370370409E-2"/>
        </c:manualLayout>
      </c:layout>
      <c:overlay val="1"/>
    </c:title>
    <c:plotArea>
      <c:layout>
        <c:manualLayout>
          <c:layoutTarget val="inner"/>
          <c:xMode val="edge"/>
          <c:yMode val="edge"/>
          <c:x val="0.22138833333333338"/>
          <c:y val="9.3318888888888896E-2"/>
          <c:w val="0.73506138888888883"/>
          <c:h val="0.73139888888890003"/>
        </c:manualLayout>
      </c:layout>
      <c:scatterChart>
        <c:scatterStyle val="lineMarker"/>
        <c:ser>
          <c:idx val="2"/>
          <c:order val="0"/>
          <c:tx>
            <c:v>Fe3O4 heated in N2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rate'!#REF!</c:f>
            </c:numRef>
          </c:xVal>
          <c:yVal>
            <c:numRef>
              <c:f>'conv and rate'!$BY$10:$CB$10</c:f>
              <c:numCache>
                <c:formatCode>General</c:formatCode>
                <c:ptCount val="4"/>
              </c:numCache>
            </c:numRef>
          </c:yVal>
        </c:ser>
        <c:ser>
          <c:idx val="1"/>
          <c:order val="1"/>
          <c:tx>
            <c:v>Fe2O3 calcined and reduced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'conv and rate'!#REF!</c:f>
            </c:numRef>
          </c:xVal>
          <c:yVal>
            <c:numRef>
              <c:f>'conv and rate'!$CC$10:$CE$10</c:f>
              <c:numCache>
                <c:formatCode>General</c:formatCode>
                <c:ptCount val="3"/>
              </c:numCache>
            </c:numRef>
          </c:yVal>
        </c:ser>
        <c:ser>
          <c:idx val="0"/>
          <c:order val="2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rate'!$BE$2:$BK$2</c:f>
              <c:numCache>
                <c:formatCode>General</c:formatCode>
                <c:ptCount val="7"/>
                <c:pt idx="0">
                  <c:v>6.3</c:v>
                </c:pt>
                <c:pt idx="1">
                  <c:v>9</c:v>
                </c:pt>
                <c:pt idx="2">
                  <c:v>16.600000000000001</c:v>
                </c:pt>
                <c:pt idx="3">
                  <c:v>18.100000000000001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rate'!$BN$10:$BT$10</c:f>
              <c:numCache>
                <c:formatCode>General</c:formatCode>
                <c:ptCount val="7"/>
                <c:pt idx="0">
                  <c:v>5.47431238532552E-2</c:v>
                </c:pt>
                <c:pt idx="1">
                  <c:v>7.4187770463968405E-2</c:v>
                </c:pt>
                <c:pt idx="2">
                  <c:v>0.10942781775212261</c:v>
                </c:pt>
                <c:pt idx="3">
                  <c:v>8.8444252224300746E-2</c:v>
                </c:pt>
                <c:pt idx="4">
                  <c:v>6.7101003293225991E-2</c:v>
                </c:pt>
                <c:pt idx="5">
                  <c:v>8.2018191318287192E-2</c:v>
                </c:pt>
                <c:pt idx="6">
                  <c:v>0.16496845436485802</c:v>
                </c:pt>
              </c:numCache>
            </c:numRef>
          </c:yVal>
        </c:ser>
        <c:axId val="91600384"/>
        <c:axId val="91602944"/>
      </c:scatterChart>
      <c:valAx>
        <c:axId val="91600384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47308080808083"/>
              <c:y val="0.9158430555555666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1602944"/>
        <c:crosses val="autoZero"/>
        <c:crossBetween val="midCat"/>
        <c:majorUnit val="10"/>
      </c:valAx>
      <c:valAx>
        <c:axId val="916029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production rate</a:t>
                </a:r>
              </a:p>
              <a:p>
                <a:pPr>
                  <a:defRPr b="0"/>
                </a:pPr>
                <a:r>
                  <a:rPr lang="en-GB" b="0"/>
                  <a:t>(mmol /min /g)</a:t>
                </a:r>
              </a:p>
            </c:rich>
          </c:tx>
          <c:layout>
            <c:manualLayout>
              <c:xMode val="edge"/>
              <c:yMode val="edge"/>
              <c:x val="1.1374999999999988E-3"/>
              <c:y val="0.19953833333333412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1600384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3783333333334"/>
          <c:y val="4.5517222222222306E-2"/>
          <c:w val="0.79190722222222221"/>
          <c:h val="0.78078777777777753"/>
        </c:manualLayout>
      </c:layout>
      <c:scatterChart>
        <c:scatterStyle val="lineMarker"/>
        <c:ser>
          <c:idx val="2"/>
          <c:order val="0"/>
          <c:tx>
            <c:v>strong Fe acid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error!$AR$22:$AX$22</c:f>
                <c:numCache>
                  <c:formatCode>General</c:formatCode>
                  <c:ptCount val="7"/>
                  <c:pt idx="0">
                    <c:v>0.14858581639420892</c:v>
                  </c:pt>
                  <c:pt idx="1">
                    <c:v>0.1419393168866995</c:v>
                  </c:pt>
                  <c:pt idx="2">
                    <c:v>0.36236011642406657</c:v>
                  </c:pt>
                  <c:pt idx="3">
                    <c:v>0.98694368399748822</c:v>
                  </c:pt>
                  <c:pt idx="4">
                    <c:v>2.1488720110341548</c:v>
                  </c:pt>
                  <c:pt idx="5">
                    <c:v>1.276552287581707</c:v>
                  </c:pt>
                  <c:pt idx="6">
                    <c:v>5.9003297079032979</c:v>
                  </c:pt>
                </c:numCache>
              </c:numRef>
            </c:plus>
            <c:minus>
              <c:numRef>
                <c:f>error!$AR$22:$AX$22</c:f>
                <c:numCache>
                  <c:formatCode>General</c:formatCode>
                  <c:ptCount val="7"/>
                  <c:pt idx="0">
                    <c:v>0.14858581639420892</c:v>
                  </c:pt>
                  <c:pt idx="1">
                    <c:v>0.1419393168866995</c:v>
                  </c:pt>
                  <c:pt idx="2">
                    <c:v>0.36236011642406657</c:v>
                  </c:pt>
                  <c:pt idx="3">
                    <c:v>0.98694368399748822</c:v>
                  </c:pt>
                  <c:pt idx="4">
                    <c:v>2.1488720110341548</c:v>
                  </c:pt>
                  <c:pt idx="5">
                    <c:v>1.276552287581707</c:v>
                  </c:pt>
                  <c:pt idx="6">
                    <c:v>5.9003297079032979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error!$AR$20:$AX$20</c:f>
              <c:numCache>
                <c:formatCode>General</c:formatCode>
                <c:ptCount val="7"/>
                <c:pt idx="0">
                  <c:v>13.163941454798453</c:v>
                </c:pt>
                <c:pt idx="1">
                  <c:v>19.871504364127066</c:v>
                </c:pt>
                <c:pt idx="2">
                  <c:v>17.202081855738683</c:v>
                </c:pt>
                <c:pt idx="3">
                  <c:v>23.29198937558257</c:v>
                </c:pt>
                <c:pt idx="4">
                  <c:v>15.042104077239053</c:v>
                </c:pt>
                <c:pt idx="5">
                  <c:v>20.424836601307177</c:v>
                </c:pt>
                <c:pt idx="6">
                  <c:v>18.213795579000195</c:v>
                </c:pt>
              </c:numCache>
            </c:numRef>
          </c:yVal>
        </c:ser>
        <c:axId val="96895744"/>
        <c:axId val="96897664"/>
      </c:scatterChart>
      <c:valAx>
        <c:axId val="96895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4123083333333326"/>
              <c:y val="0.9123152777777777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6897664"/>
        <c:crosses val="autoZero"/>
        <c:crossBetween val="midCat"/>
        <c:majorUnit val="10"/>
      </c:valAx>
      <c:valAx>
        <c:axId val="968976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</a:t>
                </a:r>
                <a:r>
                  <a:rPr lang="en-GB" baseline="0"/>
                  <a:t> (min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4163055555555561E-2"/>
              <c:y val="0.3230105555555585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6895744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7991666666666686"/>
          <c:y val="5.0998888888888892E-2"/>
          <c:w val="0.48603638888888995"/>
          <c:h val="0.13089333333333344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3783333333334"/>
          <c:y val="4.5517222222222327E-2"/>
          <c:w val="0.79190722222222221"/>
          <c:h val="0.78078777777777753"/>
        </c:manualLayout>
      </c:layout>
      <c:scatterChart>
        <c:scatterStyle val="lineMarker"/>
        <c:ser>
          <c:idx val="1"/>
          <c:order val="0"/>
          <c:tx>
            <c:v>total Fe acid sites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plus>
              <c:numRef>
                <c:f>error!$AR$11:$AX$11</c:f>
                <c:numCache>
                  <c:formatCode>General</c:formatCode>
                  <c:ptCount val="7"/>
                  <c:pt idx="0">
                    <c:v>5.3217740895553221E-2</c:v>
                  </c:pt>
                  <c:pt idx="1">
                    <c:v>6.1949643789519643E-2</c:v>
                  </c:pt>
                  <c:pt idx="2">
                    <c:v>0.19704811559793486</c:v>
                  </c:pt>
                  <c:pt idx="3">
                    <c:v>0.70714994057294223</c:v>
                  </c:pt>
                  <c:pt idx="4">
                    <c:v>1.8229195149784114</c:v>
                  </c:pt>
                  <c:pt idx="5">
                    <c:v>1.1956688093051755</c:v>
                  </c:pt>
                  <c:pt idx="6">
                    <c:v>5.6174371876613609</c:v>
                  </c:pt>
                </c:numCache>
              </c:numRef>
            </c:plus>
            <c:minus>
              <c:numRef>
                <c:f>error!$AR$11:$AX$11</c:f>
                <c:numCache>
                  <c:formatCode>General</c:formatCode>
                  <c:ptCount val="7"/>
                  <c:pt idx="0">
                    <c:v>5.3217740895553221E-2</c:v>
                  </c:pt>
                  <c:pt idx="1">
                    <c:v>6.1949643789519643E-2</c:v>
                  </c:pt>
                  <c:pt idx="2">
                    <c:v>0.19704811559793486</c:v>
                  </c:pt>
                  <c:pt idx="3">
                    <c:v>0.70714994057294223</c:v>
                  </c:pt>
                  <c:pt idx="4">
                    <c:v>1.8229195149784114</c:v>
                  </c:pt>
                  <c:pt idx="5">
                    <c:v>1.1956688093051755</c:v>
                  </c:pt>
                  <c:pt idx="6">
                    <c:v>5.6174371876613609</c:v>
                  </c:pt>
                </c:numCache>
              </c:numRef>
            </c:minus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error!$AR$9:$AX$9</c:f>
              <c:numCache>
                <c:formatCode>General</c:formatCode>
                <c:ptCount val="7"/>
                <c:pt idx="0">
                  <c:v>4.7148189679626782</c:v>
                </c:pt>
                <c:pt idx="1">
                  <c:v>8.6729501305367496</c:v>
                </c:pt>
                <c:pt idx="2">
                  <c:v>9.3543347084801187</c:v>
                </c:pt>
                <c:pt idx="3">
                  <c:v>16.688823455514505</c:v>
                </c:pt>
                <c:pt idx="4">
                  <c:v>12.760436604848861</c:v>
                </c:pt>
                <c:pt idx="5">
                  <c:v>19.130700948882758</c:v>
                </c:pt>
                <c:pt idx="6">
                  <c:v>17.340531407404296</c:v>
                </c:pt>
              </c:numCache>
            </c:numRef>
          </c:yVal>
        </c:ser>
        <c:axId val="96840704"/>
        <c:axId val="96904320"/>
      </c:scatterChart>
      <c:valAx>
        <c:axId val="96840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4123083333333326"/>
              <c:y val="0.9123152777777777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6904320"/>
        <c:crosses val="autoZero"/>
        <c:crossBetween val="midCat"/>
        <c:majorUnit val="10"/>
      </c:valAx>
      <c:valAx>
        <c:axId val="96904320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</a:t>
                </a:r>
                <a:r>
                  <a:rPr lang="en-GB" baseline="0"/>
                  <a:t> (min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4163055555555561E-2"/>
              <c:y val="0.3230105555555587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6840704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8344444444444488"/>
          <c:y val="5.8054444444444485E-2"/>
          <c:w val="0.40842527777777837"/>
          <c:h val="0.13089333333333344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3783333333334"/>
          <c:y val="4.5517222222222355E-2"/>
          <c:w val="0.79190722222222221"/>
          <c:h val="0.78078777777777753"/>
        </c:manualLayout>
      </c:layout>
      <c:scatterChart>
        <c:scatterStyle val="lineMarker"/>
        <c:ser>
          <c:idx val="0"/>
          <c:order val="0"/>
          <c:tx>
            <c:v>Weak Fe acid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error!$AR$29:$AX$29</c:f>
              <c:numCache>
                <c:formatCode>General</c:formatCode>
                <c:ptCount val="7"/>
                <c:pt idx="0">
                  <c:v>7.3458043673690128</c:v>
                </c:pt>
                <c:pt idx="1">
                  <c:v>15.434067396477568</c:v>
                </c:pt>
                <c:pt idx="2">
                  <c:v>20.6524272784626</c:v>
                </c:pt>
                <c:pt idx="3">
                  <c:v>58.269451387050644</c:v>
                </c:pt>
                <c:pt idx="4">
                  <c:v>84.124359839373966</c:v>
                </c:pt>
                <c:pt idx="5">
                  <c:v>301.93236714975825</c:v>
                </c:pt>
                <c:pt idx="6">
                  <c:v>337.56234473080366</c:v>
                </c:pt>
              </c:numCache>
            </c:numRef>
          </c:yVal>
        </c:ser>
        <c:axId val="96843264"/>
        <c:axId val="96845184"/>
      </c:scatterChart>
      <c:valAx>
        <c:axId val="9684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4123083333333326"/>
              <c:y val="0.9123152777777777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6845184"/>
        <c:crosses val="autoZero"/>
        <c:crossBetween val="midCat"/>
        <c:majorUnit val="10"/>
      </c:valAx>
      <c:valAx>
        <c:axId val="968451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</a:t>
                </a:r>
                <a:r>
                  <a:rPr lang="en-GB" baseline="0"/>
                  <a:t> (min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4163055555555561E-2"/>
              <c:y val="0.3230105555555589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6843264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693333333333335"/>
          <c:y val="6.5109999999999987E-2"/>
          <c:w val="0.48603638888889017"/>
          <c:h val="0.13089333333333344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3783333333334"/>
          <c:y val="4.5517222222222327E-2"/>
          <c:w val="0.79190722222222221"/>
          <c:h val="0.78078777777777753"/>
        </c:manualLayout>
      </c:layout>
      <c:scatterChart>
        <c:scatterStyle val="lineMarker"/>
        <c:ser>
          <c:idx val="2"/>
          <c:order val="2"/>
          <c:tx>
            <c:v>strong Fe acid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error!$AR$22:$AX$22</c:f>
                <c:numCache>
                  <c:formatCode>General</c:formatCode>
                  <c:ptCount val="7"/>
                  <c:pt idx="0">
                    <c:v>0.14858581639420892</c:v>
                  </c:pt>
                  <c:pt idx="1">
                    <c:v>0.1419393168866995</c:v>
                  </c:pt>
                  <c:pt idx="2">
                    <c:v>0.36236011642406657</c:v>
                  </c:pt>
                  <c:pt idx="3">
                    <c:v>0.98694368399748822</c:v>
                  </c:pt>
                  <c:pt idx="4">
                    <c:v>2.1488720110341548</c:v>
                  </c:pt>
                  <c:pt idx="5">
                    <c:v>1.276552287581707</c:v>
                  </c:pt>
                  <c:pt idx="6">
                    <c:v>5.9003297079032979</c:v>
                  </c:pt>
                </c:numCache>
              </c:numRef>
            </c:plus>
            <c:minus>
              <c:numRef>
                <c:f>error!$AR$22:$AX$22</c:f>
                <c:numCache>
                  <c:formatCode>General</c:formatCode>
                  <c:ptCount val="7"/>
                  <c:pt idx="0">
                    <c:v>0.14858581639420892</c:v>
                  </c:pt>
                  <c:pt idx="1">
                    <c:v>0.1419393168866995</c:v>
                  </c:pt>
                  <c:pt idx="2">
                    <c:v>0.36236011642406657</c:v>
                  </c:pt>
                  <c:pt idx="3">
                    <c:v>0.98694368399748822</c:v>
                  </c:pt>
                  <c:pt idx="4">
                    <c:v>2.1488720110341548</c:v>
                  </c:pt>
                  <c:pt idx="5">
                    <c:v>1.276552287581707</c:v>
                  </c:pt>
                  <c:pt idx="6">
                    <c:v>5.9003297079032979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error!$AR$20:$AX$20</c:f>
              <c:numCache>
                <c:formatCode>General</c:formatCode>
                <c:ptCount val="7"/>
                <c:pt idx="0">
                  <c:v>13.163941454798453</c:v>
                </c:pt>
                <c:pt idx="1">
                  <c:v>19.871504364127066</c:v>
                </c:pt>
                <c:pt idx="2">
                  <c:v>17.202081855738683</c:v>
                </c:pt>
                <c:pt idx="3">
                  <c:v>23.29198937558257</c:v>
                </c:pt>
                <c:pt idx="4">
                  <c:v>15.042104077239053</c:v>
                </c:pt>
                <c:pt idx="5">
                  <c:v>20.424836601307177</c:v>
                </c:pt>
                <c:pt idx="6">
                  <c:v>18.213795579000195</c:v>
                </c:pt>
              </c:numCache>
            </c:numRef>
          </c:yVal>
        </c:ser>
        <c:ser>
          <c:idx val="0"/>
          <c:order val="0"/>
          <c:tx>
            <c:v>weak Fe acid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error!$AR$29:$AX$29</c:f>
              <c:numCache>
                <c:formatCode>General</c:formatCode>
                <c:ptCount val="7"/>
                <c:pt idx="0">
                  <c:v>7.3458043673690128</c:v>
                </c:pt>
                <c:pt idx="1">
                  <c:v>15.434067396477568</c:v>
                </c:pt>
                <c:pt idx="2">
                  <c:v>20.6524272784626</c:v>
                </c:pt>
                <c:pt idx="3">
                  <c:v>58.269451387050644</c:v>
                </c:pt>
                <c:pt idx="4">
                  <c:v>84.124359839373966</c:v>
                </c:pt>
                <c:pt idx="5">
                  <c:v>301.93236714975825</c:v>
                </c:pt>
                <c:pt idx="6">
                  <c:v>337.56234473080366</c:v>
                </c:pt>
              </c:numCache>
            </c:numRef>
          </c:yVal>
        </c:ser>
        <c:axId val="99623296"/>
        <c:axId val="99625216"/>
      </c:scatterChart>
      <c:scatterChart>
        <c:scatterStyle val="lineMarker"/>
        <c:ser>
          <c:idx val="1"/>
          <c:order val="1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error!$AR$9:$AX$9</c:f>
              <c:numCache>
                <c:formatCode>General</c:formatCode>
                <c:ptCount val="7"/>
                <c:pt idx="0">
                  <c:v>4.7148189679626782</c:v>
                </c:pt>
                <c:pt idx="1">
                  <c:v>8.6729501305367496</c:v>
                </c:pt>
                <c:pt idx="2">
                  <c:v>9.3543347084801187</c:v>
                </c:pt>
                <c:pt idx="3">
                  <c:v>16.688823455514505</c:v>
                </c:pt>
                <c:pt idx="4">
                  <c:v>12.760436604848861</c:v>
                </c:pt>
                <c:pt idx="5">
                  <c:v>19.130700948882758</c:v>
                </c:pt>
                <c:pt idx="6">
                  <c:v>17.340531407404296</c:v>
                </c:pt>
              </c:numCache>
            </c:numRef>
          </c:yVal>
        </c:ser>
        <c:axId val="99637120"/>
        <c:axId val="99635584"/>
      </c:scatterChart>
      <c:valAx>
        <c:axId val="99623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4123083333333326"/>
              <c:y val="0.9123152777777777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9625216"/>
        <c:crosses val="autoZero"/>
        <c:crossBetween val="midCat"/>
        <c:majorUnit val="10"/>
      </c:valAx>
      <c:valAx>
        <c:axId val="996252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</a:t>
                </a:r>
                <a:r>
                  <a:rPr lang="en-GB" baseline="0"/>
                  <a:t> (min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4163055555555561E-2"/>
              <c:y val="0.32301055555555874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9623296"/>
        <c:crosses val="autoZero"/>
        <c:crossBetween val="midCat"/>
      </c:valAx>
      <c:valAx>
        <c:axId val="99635584"/>
        <c:scaling>
          <c:orientation val="minMax"/>
        </c:scaling>
        <c:delete val="1"/>
        <c:axPos val="r"/>
        <c:numFmt formatCode="General" sourceLinked="1"/>
        <c:tickLblPos val="none"/>
        <c:crossAx val="99637120"/>
        <c:crosses val="max"/>
        <c:crossBetween val="midCat"/>
      </c:valAx>
      <c:valAx>
        <c:axId val="99637120"/>
        <c:scaling>
          <c:orientation val="minMax"/>
        </c:scaling>
        <c:delete val="1"/>
        <c:axPos val="b"/>
        <c:numFmt formatCode="General" sourceLinked="1"/>
        <c:tickLblPos val="none"/>
        <c:crossAx val="99635584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5169444444444458"/>
          <c:y val="6.5109999999999987E-2"/>
          <c:w val="0.48603638888889006"/>
          <c:h val="0.13089333333333344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3783333333334"/>
          <c:y val="4.5517222222222355E-2"/>
          <c:w val="0.79190722222222221"/>
          <c:h val="0.78078777777777753"/>
        </c:manualLayout>
      </c:layout>
      <c:scatterChart>
        <c:scatterStyle val="lineMarker"/>
        <c:ser>
          <c:idx val="0"/>
          <c:order val="0"/>
          <c:tx>
            <c:v>weak Fe acid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error!$AR$29:$AX$29</c:f>
              <c:numCache>
                <c:formatCode>General</c:formatCode>
                <c:ptCount val="7"/>
                <c:pt idx="0">
                  <c:v>7.3458043673690128</c:v>
                </c:pt>
                <c:pt idx="1">
                  <c:v>15.434067396477568</c:v>
                </c:pt>
                <c:pt idx="2">
                  <c:v>20.6524272784626</c:v>
                </c:pt>
                <c:pt idx="3">
                  <c:v>58.269451387050644</c:v>
                </c:pt>
                <c:pt idx="4">
                  <c:v>84.124359839373966</c:v>
                </c:pt>
                <c:pt idx="5">
                  <c:v>301.93236714975825</c:v>
                </c:pt>
                <c:pt idx="6">
                  <c:v>337.56234473080366</c:v>
                </c:pt>
              </c:numCache>
            </c:numRef>
          </c:yVal>
        </c:ser>
        <c:axId val="99681024"/>
        <c:axId val="99682944"/>
      </c:scatterChart>
      <c:scatterChart>
        <c:scatterStyle val="lineMarker"/>
        <c:ser>
          <c:idx val="1"/>
          <c:order val="1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error!$AR$9:$AX$9</c:f>
              <c:numCache>
                <c:formatCode>General</c:formatCode>
                <c:ptCount val="7"/>
                <c:pt idx="0">
                  <c:v>4.7148189679626782</c:v>
                </c:pt>
                <c:pt idx="1">
                  <c:v>8.6729501305367496</c:v>
                </c:pt>
                <c:pt idx="2">
                  <c:v>9.3543347084801187</c:v>
                </c:pt>
                <c:pt idx="3">
                  <c:v>16.688823455514505</c:v>
                </c:pt>
                <c:pt idx="4">
                  <c:v>12.760436604848861</c:v>
                </c:pt>
                <c:pt idx="5">
                  <c:v>19.130700948882758</c:v>
                </c:pt>
                <c:pt idx="6">
                  <c:v>17.340531407404296</c:v>
                </c:pt>
              </c:numCache>
            </c:numRef>
          </c:yVal>
        </c:ser>
        <c:axId val="99690752"/>
        <c:axId val="99689216"/>
      </c:scatterChart>
      <c:valAx>
        <c:axId val="99681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4123083333333326"/>
              <c:y val="0.9123152777777777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9682944"/>
        <c:crosses val="autoZero"/>
        <c:crossBetween val="midCat"/>
        <c:majorUnit val="10"/>
      </c:valAx>
      <c:valAx>
        <c:axId val="996829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</a:t>
                </a:r>
                <a:r>
                  <a:rPr lang="en-GB" baseline="0"/>
                  <a:t> (min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4163055555555561E-2"/>
              <c:y val="0.3230105555555589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9681024"/>
        <c:crosses val="autoZero"/>
        <c:crossBetween val="midCat"/>
      </c:valAx>
      <c:valAx>
        <c:axId val="99689216"/>
        <c:scaling>
          <c:orientation val="minMax"/>
        </c:scaling>
        <c:axPos val="r"/>
        <c:numFmt formatCode="General" sourceLinked="1"/>
        <c:tickLblPos val="nextTo"/>
        <c:crossAx val="99690752"/>
        <c:crosses val="max"/>
        <c:crossBetween val="midCat"/>
      </c:valAx>
      <c:valAx>
        <c:axId val="99690752"/>
        <c:scaling>
          <c:orientation val="minMax"/>
        </c:scaling>
        <c:delete val="1"/>
        <c:axPos val="b"/>
        <c:numFmt formatCode="General" sourceLinked="1"/>
        <c:tickLblPos val="none"/>
        <c:crossAx val="99689216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5169444444444502"/>
          <c:y val="9.3332222222222247E-2"/>
          <c:w val="0.48603638888889017"/>
          <c:h val="0.13089333333333344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3783333333334"/>
          <c:y val="4.5517222222222389E-2"/>
          <c:w val="0.79190722222222221"/>
          <c:h val="0.78078777777777753"/>
        </c:manualLayout>
      </c:layout>
      <c:scatterChart>
        <c:scatterStyle val="lineMarker"/>
        <c:ser>
          <c:idx val="0"/>
          <c:order val="0"/>
          <c:tx>
            <c:v>Weak Fe acid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error!$AR$29:$AX$29</c:f>
              <c:numCache>
                <c:formatCode>General</c:formatCode>
                <c:ptCount val="7"/>
                <c:pt idx="0">
                  <c:v>7.3458043673690128</c:v>
                </c:pt>
                <c:pt idx="1">
                  <c:v>15.434067396477568</c:v>
                </c:pt>
                <c:pt idx="2">
                  <c:v>20.6524272784626</c:v>
                </c:pt>
                <c:pt idx="3">
                  <c:v>58.269451387050644</c:v>
                </c:pt>
                <c:pt idx="4">
                  <c:v>84.124359839373966</c:v>
                </c:pt>
                <c:pt idx="5">
                  <c:v>301.93236714975825</c:v>
                </c:pt>
                <c:pt idx="6">
                  <c:v>337.56234473080366</c:v>
                </c:pt>
              </c:numCache>
            </c:numRef>
          </c:yVal>
        </c:ser>
        <c:axId val="99751040"/>
        <c:axId val="99752960"/>
      </c:scatterChart>
      <c:scatterChart>
        <c:scatterStyle val="lineMarker"/>
        <c:ser>
          <c:idx val="1"/>
          <c:order val="1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plus>
            <c:minus>
              <c:numRef>
                <c:f>error!$AR$31:$AX$31</c:f>
                <c:numCache>
                  <c:formatCode>General</c:formatCode>
                  <c:ptCount val="7"/>
                  <c:pt idx="0">
                    <c:v>8.2914554333547788E-2</c:v>
                  </c:pt>
                  <c:pt idx="1">
                    <c:v>0.11024333854625595</c:v>
                  </c:pt>
                  <c:pt idx="2">
                    <c:v>0.43504129417724757</c:v>
                  </c:pt>
                  <c:pt idx="3">
                    <c:v>2.4690319958988018</c:v>
                  </c:pt>
                  <c:pt idx="4">
                    <c:v>12.017765691339125</c:v>
                  </c:pt>
                  <c:pt idx="5">
                    <c:v>18.870772946860278</c:v>
                  </c:pt>
                  <c:pt idx="6">
                    <c:v>109.35277725314116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error!$AR$2:$AX$2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error!$AR$9:$AX$9</c:f>
              <c:numCache>
                <c:formatCode>General</c:formatCode>
                <c:ptCount val="7"/>
                <c:pt idx="0">
                  <c:v>4.7148189679626782</c:v>
                </c:pt>
                <c:pt idx="1">
                  <c:v>8.6729501305367496</c:v>
                </c:pt>
                <c:pt idx="2">
                  <c:v>9.3543347084801187</c:v>
                </c:pt>
                <c:pt idx="3">
                  <c:v>16.688823455514505</c:v>
                </c:pt>
                <c:pt idx="4">
                  <c:v>12.760436604848861</c:v>
                </c:pt>
                <c:pt idx="5">
                  <c:v>19.130700948882758</c:v>
                </c:pt>
                <c:pt idx="6">
                  <c:v>17.340531407404296</c:v>
                </c:pt>
              </c:numCache>
            </c:numRef>
          </c:yVal>
        </c:ser>
        <c:axId val="99764864"/>
        <c:axId val="99763328"/>
      </c:scatterChart>
      <c:valAx>
        <c:axId val="99751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Fe</a:t>
                </a:r>
                <a:r>
                  <a:rPr lang="en-GB" baseline="-25000"/>
                  <a:t>3</a:t>
                </a:r>
                <a:r>
                  <a:rPr lang="en-GB"/>
                  <a:t>O</a:t>
                </a:r>
                <a:r>
                  <a:rPr lang="en-GB" baseline="-25000"/>
                  <a:t>4</a:t>
                </a:r>
                <a:r>
                  <a:rPr lang="en-GB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4123083333333326"/>
              <c:y val="0.91231527777777777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9752960"/>
        <c:crosses val="autoZero"/>
        <c:crossBetween val="midCat"/>
        <c:majorUnit val="10"/>
      </c:valAx>
      <c:valAx>
        <c:axId val="997529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TOF</a:t>
                </a:r>
                <a:r>
                  <a:rPr lang="en-GB" baseline="0"/>
                  <a:t> (min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4163055555555561E-2"/>
              <c:y val="0.32301055555555902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9751040"/>
        <c:crosses val="autoZero"/>
        <c:crossBetween val="midCat"/>
      </c:valAx>
      <c:valAx>
        <c:axId val="99763328"/>
        <c:scaling>
          <c:orientation val="minMax"/>
        </c:scaling>
        <c:axPos val="r"/>
        <c:numFmt formatCode="General" sourceLinked="1"/>
        <c:tickLblPos val="nextTo"/>
        <c:crossAx val="99764864"/>
        <c:crosses val="max"/>
        <c:crossBetween val="midCat"/>
      </c:valAx>
      <c:valAx>
        <c:axId val="99764864"/>
        <c:scaling>
          <c:orientation val="minMax"/>
        </c:scaling>
        <c:delete val="1"/>
        <c:axPos val="b"/>
        <c:numFmt formatCode="General" sourceLinked="1"/>
        <c:tickLblPos val="none"/>
        <c:crossAx val="9976332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15169444444444513"/>
          <c:y val="9.3332222222222247E-2"/>
          <c:w val="0.48603638888889034"/>
          <c:h val="0.13089333333333344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/SiO</a:t>
            </a:r>
            <a:r>
              <a:rPr lang="en-GB" sz="1200" b="0" baseline="-25000"/>
              <a:t>2</a:t>
            </a:r>
          </a:p>
        </c:rich>
      </c:tx>
      <c:layout>
        <c:manualLayout>
          <c:xMode val="edge"/>
          <c:yMode val="edge"/>
          <c:x val="0.430995138888888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673726851851852"/>
          <c:y val="7.3514898989898991E-2"/>
          <c:w val="0.82246550925925532"/>
          <c:h val="0.81306439393939389"/>
        </c:manualLayout>
      </c:layout>
      <c:scatterChart>
        <c:scatterStyle val="lineMarker"/>
        <c:ser>
          <c:idx val="0"/>
          <c:order val="0"/>
          <c:tx>
            <c:v>9.7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selectivity!$D$38:$D$48</c:f>
                <c:numCache>
                  <c:formatCode>General</c:formatCode>
                  <c:ptCount val="11"/>
                  <c:pt idx="0">
                    <c:v>18.416095550247231</c:v>
                  </c:pt>
                  <c:pt idx="2">
                    <c:v>10.996318700205224</c:v>
                  </c:pt>
                  <c:pt idx="4">
                    <c:v>1.5567841703746663</c:v>
                  </c:pt>
                  <c:pt idx="5">
                    <c:v>0.81254186524135963</c:v>
                  </c:pt>
                  <c:pt idx="6">
                    <c:v>0.376425960282123</c:v>
                  </c:pt>
                  <c:pt idx="7">
                    <c:v>0.63045723546674781</c:v>
                  </c:pt>
                  <c:pt idx="8">
                    <c:v>0.18071556282028528</c:v>
                  </c:pt>
                  <c:pt idx="10">
                    <c:v>4.4735769670510832</c:v>
                  </c:pt>
                </c:numCache>
              </c:numRef>
            </c:plus>
            <c:minus>
              <c:numRef>
                <c:f>selectivity!$D$38:$D$48</c:f>
                <c:numCache>
                  <c:formatCode>General</c:formatCode>
                  <c:ptCount val="11"/>
                  <c:pt idx="0">
                    <c:v>18.416095550247231</c:v>
                  </c:pt>
                  <c:pt idx="2">
                    <c:v>10.996318700205224</c:v>
                  </c:pt>
                  <c:pt idx="4">
                    <c:v>1.5567841703746663</c:v>
                  </c:pt>
                  <c:pt idx="5">
                    <c:v>0.81254186524135963</c:v>
                  </c:pt>
                  <c:pt idx="6">
                    <c:v>0.376425960282123</c:v>
                  </c:pt>
                  <c:pt idx="7">
                    <c:v>0.63045723546674781</c:v>
                  </c:pt>
                  <c:pt idx="8">
                    <c:v>0.18071556282028528</c:v>
                  </c:pt>
                  <c:pt idx="10">
                    <c:v>4.4735769670510832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selectivity!$D$6:$D$16</c:f>
              <c:numCache>
                <c:formatCode>General</c:formatCode>
                <c:ptCount val="11"/>
                <c:pt idx="0">
                  <c:v>2.2222222222222334</c:v>
                </c:pt>
                <c:pt idx="2">
                  <c:v>5.5555555555555616</c:v>
                </c:pt>
                <c:pt idx="4">
                  <c:v>15.11111111111112</c:v>
                </c:pt>
                <c:pt idx="5">
                  <c:v>22.888888888888903</c:v>
                </c:pt>
                <c:pt idx="6">
                  <c:v>31.111111111111114</c:v>
                </c:pt>
                <c:pt idx="7">
                  <c:v>40.200000000000003</c:v>
                </c:pt>
                <c:pt idx="8">
                  <c:v>59.5</c:v>
                </c:pt>
                <c:pt idx="10">
                  <c:v>92.25500000000001</c:v>
                </c:pt>
              </c:numCache>
            </c:numRef>
          </c:xVal>
          <c:yVal>
            <c:numRef>
              <c:f>selectivity!$D$24:$D$34</c:f>
              <c:numCache>
                <c:formatCode>General</c:formatCode>
                <c:ptCount val="11"/>
                <c:pt idx="0">
                  <c:v>38.775510204081378</c:v>
                </c:pt>
                <c:pt idx="2">
                  <c:v>38.21480107194386</c:v>
                </c:pt>
                <c:pt idx="4">
                  <c:v>31.725417439703136</c:v>
                </c:pt>
                <c:pt idx="5">
                  <c:v>34.146115589092766</c:v>
                </c:pt>
                <c:pt idx="6">
                  <c:v>32.974003662519586</c:v>
                </c:pt>
                <c:pt idx="7">
                  <c:v>33.312893604345966</c:v>
                </c:pt>
                <c:pt idx="8">
                  <c:v>31.98021194394406</c:v>
                </c:pt>
                <c:pt idx="10">
                  <c:v>49.499037300939676</c:v>
                </c:pt>
              </c:numCache>
            </c:numRef>
          </c:yVal>
        </c:ser>
        <c:ser>
          <c:idx val="1"/>
          <c:order val="1"/>
          <c:tx>
            <c:v>16.6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selectivity!$E$38:$E$48</c:f>
                <c:numCache>
                  <c:formatCode>General</c:formatCode>
                  <c:ptCount val="11"/>
                  <c:pt idx="0">
                    <c:v>2.4186093504382753</c:v>
                  </c:pt>
                  <c:pt idx="2">
                    <c:v>10.108466509934189</c:v>
                  </c:pt>
                  <c:pt idx="4">
                    <c:v>2.809810239922093</c:v>
                  </c:pt>
                  <c:pt idx="5">
                    <c:v>1.7097324164925574</c:v>
                  </c:pt>
                  <c:pt idx="6">
                    <c:v>0.96064133589979317</c:v>
                  </c:pt>
                  <c:pt idx="7">
                    <c:v>0.53453213691350865</c:v>
                  </c:pt>
                  <c:pt idx="8">
                    <c:v>0.6181213107483412</c:v>
                  </c:pt>
                  <c:pt idx="10">
                    <c:v>9.3198621223644054</c:v>
                  </c:pt>
                </c:numCache>
              </c:numRef>
            </c:plus>
            <c:minus>
              <c:numRef>
                <c:f>selectivity!$E$38:$E$48</c:f>
                <c:numCache>
                  <c:formatCode>General</c:formatCode>
                  <c:ptCount val="11"/>
                  <c:pt idx="0">
                    <c:v>2.4186093504382753</c:v>
                  </c:pt>
                  <c:pt idx="2">
                    <c:v>10.108466509934189</c:v>
                  </c:pt>
                  <c:pt idx="4">
                    <c:v>2.809810239922093</c:v>
                  </c:pt>
                  <c:pt idx="5">
                    <c:v>1.7097324164925574</c:v>
                  </c:pt>
                  <c:pt idx="6">
                    <c:v>0.96064133589979317</c:v>
                  </c:pt>
                  <c:pt idx="7">
                    <c:v>0.53453213691350865</c:v>
                  </c:pt>
                  <c:pt idx="8">
                    <c:v>0.6181213107483412</c:v>
                  </c:pt>
                  <c:pt idx="10">
                    <c:v>9.3198621223644054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selectivity!$E$6:$E$16</c:f>
              <c:numCache>
                <c:formatCode>General</c:formatCode>
                <c:ptCount val="11"/>
                <c:pt idx="0">
                  <c:v>2.7191748710736143</c:v>
                </c:pt>
                <c:pt idx="2">
                  <c:v>4.5944678856071306</c:v>
                </c:pt>
                <c:pt idx="4">
                  <c:v>10.923581809657767</c:v>
                </c:pt>
                <c:pt idx="5">
                  <c:v>21.003281762775433</c:v>
                </c:pt>
                <c:pt idx="6">
                  <c:v>29.442100328176281</c:v>
                </c:pt>
                <c:pt idx="7">
                  <c:v>48.335677449601498</c:v>
                </c:pt>
                <c:pt idx="8">
                  <c:v>71.64205344585092</c:v>
                </c:pt>
                <c:pt idx="10">
                  <c:v>81.293952180028128</c:v>
                </c:pt>
              </c:numCache>
            </c:numRef>
          </c:xVal>
          <c:yVal>
            <c:numRef>
              <c:f>selectivity!$E$24:$E$34</c:f>
              <c:numCache>
                <c:formatCode>General</c:formatCode>
                <c:ptCount val="11"/>
                <c:pt idx="0">
                  <c:v>22.441518838304489</c:v>
                </c:pt>
                <c:pt idx="2">
                  <c:v>39.877501244400172</c:v>
                </c:pt>
                <c:pt idx="4">
                  <c:v>60.977339167278778</c:v>
                </c:pt>
                <c:pt idx="5">
                  <c:v>53.696759209479374</c:v>
                </c:pt>
                <c:pt idx="6">
                  <c:v>53.367741602783383</c:v>
                </c:pt>
                <c:pt idx="7">
                  <c:v>40.829620902706893</c:v>
                </c:pt>
                <c:pt idx="8">
                  <c:v>33.662526843580402</c:v>
                </c:pt>
                <c:pt idx="10">
                  <c:v>46.439703997438983</c:v>
                </c:pt>
              </c:numCache>
            </c:numRef>
          </c:yVal>
        </c:ser>
        <c:ser>
          <c:idx val="2"/>
          <c:order val="2"/>
          <c:tx>
            <c:v>18.3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selectivity!$F$38:$F$48</c:f>
                <c:numCache>
                  <c:formatCode>General</c:formatCode>
                  <c:ptCount val="11"/>
                  <c:pt idx="0">
                    <c:v>2.1753023421699904</c:v>
                  </c:pt>
                  <c:pt idx="2">
                    <c:v>5.8590609520644383</c:v>
                  </c:pt>
                  <c:pt idx="4">
                    <c:v>1.1077354198219471</c:v>
                  </c:pt>
                  <c:pt idx="5">
                    <c:v>1.2189975673943643</c:v>
                  </c:pt>
                  <c:pt idx="6">
                    <c:v>1.5787424472752472</c:v>
                  </c:pt>
                  <c:pt idx="7">
                    <c:v>1.1711518830768735</c:v>
                  </c:pt>
                  <c:pt idx="8">
                    <c:v>0.14000411877431779</c:v>
                  </c:pt>
                  <c:pt idx="10">
                    <c:v>3.0478355352325068</c:v>
                  </c:pt>
                </c:numCache>
              </c:numRef>
            </c:plus>
            <c:minus>
              <c:numRef>
                <c:f>selectivity!$F$38:$F$48</c:f>
                <c:numCache>
                  <c:formatCode>General</c:formatCode>
                  <c:ptCount val="11"/>
                  <c:pt idx="0">
                    <c:v>2.1753023421699904</c:v>
                  </c:pt>
                  <c:pt idx="2">
                    <c:v>5.8590609520644383</c:v>
                  </c:pt>
                  <c:pt idx="4">
                    <c:v>1.1077354198219471</c:v>
                  </c:pt>
                  <c:pt idx="5">
                    <c:v>1.2189975673943643</c:v>
                  </c:pt>
                  <c:pt idx="6">
                    <c:v>1.5787424472752472</c:v>
                  </c:pt>
                  <c:pt idx="7">
                    <c:v>1.1711518830768735</c:v>
                  </c:pt>
                  <c:pt idx="8">
                    <c:v>0.14000411877431779</c:v>
                  </c:pt>
                  <c:pt idx="10">
                    <c:v>3.0478355352325068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selectivity!$F$6:$F$16</c:f>
              <c:numCache>
                <c:formatCode>General</c:formatCode>
                <c:ptCount val="11"/>
                <c:pt idx="0">
                  <c:v>3.5212626461089562</c:v>
                </c:pt>
                <c:pt idx="2">
                  <c:v>5.3991942734353033</c:v>
                </c:pt>
                <c:pt idx="4">
                  <c:v>18.309974211303938</c:v>
                </c:pt>
                <c:pt idx="5">
                  <c:v>23.943769093282977</c:v>
                </c:pt>
                <c:pt idx="6">
                  <c:v>27.699632347935673</c:v>
                </c:pt>
                <c:pt idx="7">
                  <c:v>37.863937280839515</c:v>
                </c:pt>
                <c:pt idx="8">
                  <c:v>54.272364874603461</c:v>
                </c:pt>
                <c:pt idx="10">
                  <c:v>80.14087304102388</c:v>
                </c:pt>
              </c:numCache>
            </c:numRef>
          </c:xVal>
          <c:yVal>
            <c:numRef>
              <c:f>selectivity!$F$24:$F$34</c:f>
              <c:numCache>
                <c:formatCode>General</c:formatCode>
                <c:ptCount val="11"/>
                <c:pt idx="0">
                  <c:v>8.4841391317256925</c:v>
                </c:pt>
                <c:pt idx="2">
                  <c:v>25.472304970378048</c:v>
                </c:pt>
                <c:pt idx="4">
                  <c:v>23.049776665768178</c:v>
                </c:pt>
                <c:pt idx="5">
                  <c:v>28.406131569288679</c:v>
                </c:pt>
                <c:pt idx="6">
                  <c:v>32.620899116336332</c:v>
                </c:pt>
                <c:pt idx="7">
                  <c:v>30.28920965934411</c:v>
                </c:pt>
                <c:pt idx="8">
                  <c:v>29.333306486932511</c:v>
                </c:pt>
                <c:pt idx="10">
                  <c:v>50.999298978883608</c:v>
                </c:pt>
              </c:numCache>
            </c:numRef>
          </c:yVal>
        </c:ser>
        <c:ser>
          <c:idx val="3"/>
          <c:order val="3"/>
          <c:tx>
            <c:v>27.8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selectivity!$G$38:$G$48</c:f>
                <c:numCache>
                  <c:formatCode>General</c:formatCode>
                  <c:ptCount val="11"/>
                  <c:pt idx="0">
                    <c:v>3.8645104292750507</c:v>
                  </c:pt>
                  <c:pt idx="2">
                    <c:v>3.2233899786288016</c:v>
                  </c:pt>
                  <c:pt idx="4">
                    <c:v>2.1854050396186282</c:v>
                  </c:pt>
                  <c:pt idx="5">
                    <c:v>2.4702756552010954E-2</c:v>
                  </c:pt>
                  <c:pt idx="6">
                    <c:v>3.985961524708808</c:v>
                  </c:pt>
                  <c:pt idx="7">
                    <c:v>5.0756917230686271</c:v>
                  </c:pt>
                  <c:pt idx="8">
                    <c:v>0.4471331988280382</c:v>
                  </c:pt>
                  <c:pt idx="10">
                    <c:v>1.2564800204770064</c:v>
                  </c:pt>
                </c:numCache>
              </c:numRef>
            </c:plus>
            <c:minus>
              <c:numRef>
                <c:f>selectivity!$G$38:$G$48</c:f>
                <c:numCache>
                  <c:formatCode>General</c:formatCode>
                  <c:ptCount val="11"/>
                  <c:pt idx="0">
                    <c:v>3.8645104292750507</c:v>
                  </c:pt>
                  <c:pt idx="2">
                    <c:v>3.2233899786288016</c:v>
                  </c:pt>
                  <c:pt idx="4">
                    <c:v>2.1854050396186282</c:v>
                  </c:pt>
                  <c:pt idx="5">
                    <c:v>2.4702756552010954E-2</c:v>
                  </c:pt>
                  <c:pt idx="6">
                    <c:v>3.985961524708808</c:v>
                  </c:pt>
                  <c:pt idx="7">
                    <c:v>5.0756917230686271</c:v>
                  </c:pt>
                  <c:pt idx="8">
                    <c:v>0.4471331988280382</c:v>
                  </c:pt>
                  <c:pt idx="10">
                    <c:v>1.2564800204770064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selectivity!$G$6:$G$16</c:f>
              <c:numCache>
                <c:formatCode>General</c:formatCode>
                <c:ptCount val="11"/>
                <c:pt idx="0">
                  <c:v>1.7730496453900741</c:v>
                </c:pt>
                <c:pt idx="2">
                  <c:v>3.3096926713947945</c:v>
                </c:pt>
                <c:pt idx="4">
                  <c:v>6.9148936170212743</c:v>
                </c:pt>
                <c:pt idx="5">
                  <c:v>10.401891252955082</c:v>
                </c:pt>
                <c:pt idx="6">
                  <c:v>13.238770685579192</c:v>
                </c:pt>
                <c:pt idx="7">
                  <c:v>16.07565011820331</c:v>
                </c:pt>
                <c:pt idx="8">
                  <c:v>25.768321513002363</c:v>
                </c:pt>
                <c:pt idx="10">
                  <c:v>51.347517730496449</c:v>
                </c:pt>
              </c:numCache>
            </c:numRef>
          </c:xVal>
          <c:yVal>
            <c:numRef>
              <c:f>selectivity!$G$24:$G$34</c:f>
              <c:numCache>
                <c:formatCode>General</c:formatCode>
                <c:ptCount val="11"/>
                <c:pt idx="0">
                  <c:v>6.2826530612244618</c:v>
                </c:pt>
                <c:pt idx="2">
                  <c:v>14.771428571428592</c:v>
                </c:pt>
                <c:pt idx="4">
                  <c:v>32.484353741496605</c:v>
                </c:pt>
                <c:pt idx="5">
                  <c:v>30.947376093294466</c:v>
                </c:pt>
                <c:pt idx="6">
                  <c:v>30.797789115646271</c:v>
                </c:pt>
                <c:pt idx="7">
                  <c:v>34.872890992145649</c:v>
                </c:pt>
                <c:pt idx="8">
                  <c:v>35.779394063389766</c:v>
                </c:pt>
                <c:pt idx="10">
                  <c:v>32.187549924646532</c:v>
                </c:pt>
              </c:numCache>
            </c:numRef>
          </c:yVal>
        </c:ser>
        <c:ser>
          <c:idx val="4"/>
          <c:order val="4"/>
          <c:tx>
            <c:v>38.9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selectivity!$H$38:$H$48</c:f>
                <c:numCache>
                  <c:formatCode>General</c:formatCode>
                  <c:ptCount val="11"/>
                  <c:pt idx="0">
                    <c:v>3.894348151085969</c:v>
                  </c:pt>
                  <c:pt idx="2">
                    <c:v>0.17414965986433151</c:v>
                  </c:pt>
                  <c:pt idx="4">
                    <c:v>2.0489425461077362</c:v>
                  </c:pt>
                  <c:pt idx="5">
                    <c:v>1.2350179537595003</c:v>
                  </c:pt>
                  <c:pt idx="6">
                    <c:v>0.47579443200232846</c:v>
                  </c:pt>
                  <c:pt idx="7">
                    <c:v>4.4119787735637042</c:v>
                  </c:pt>
                  <c:pt idx="8">
                    <c:v>0.27426961269811667</c:v>
                  </c:pt>
                  <c:pt idx="10">
                    <c:v>0.83713029198262456</c:v>
                  </c:pt>
                </c:numCache>
              </c:numRef>
            </c:plus>
            <c:minus>
              <c:numRef>
                <c:f>selectivity!$H$38:$H$48</c:f>
                <c:numCache>
                  <c:formatCode>General</c:formatCode>
                  <c:ptCount val="11"/>
                  <c:pt idx="0">
                    <c:v>3.894348151085969</c:v>
                  </c:pt>
                  <c:pt idx="2">
                    <c:v>0.17414965986433151</c:v>
                  </c:pt>
                  <c:pt idx="4">
                    <c:v>2.0489425461077362</c:v>
                  </c:pt>
                  <c:pt idx="5">
                    <c:v>1.2350179537595003</c:v>
                  </c:pt>
                  <c:pt idx="6">
                    <c:v>0.47579443200232846</c:v>
                  </c:pt>
                  <c:pt idx="7">
                    <c:v>4.4119787735637042</c:v>
                  </c:pt>
                  <c:pt idx="8">
                    <c:v>0.27426961269811667</c:v>
                  </c:pt>
                  <c:pt idx="10">
                    <c:v>0.83713029198262456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selectivity!$H$6:$H$16</c:f>
              <c:numCache>
                <c:formatCode>General</c:formatCode>
                <c:ptCount val="11"/>
                <c:pt idx="0">
                  <c:v>1.0416666666666572</c:v>
                </c:pt>
                <c:pt idx="2">
                  <c:v>0.69444444444442865</c:v>
                </c:pt>
                <c:pt idx="4">
                  <c:v>8.5648148148148238</c:v>
                </c:pt>
                <c:pt idx="5">
                  <c:v>10.879629629629633</c:v>
                </c:pt>
                <c:pt idx="6">
                  <c:v>11.111111111111105</c:v>
                </c:pt>
                <c:pt idx="7">
                  <c:v>14.583333333333329</c:v>
                </c:pt>
                <c:pt idx="8">
                  <c:v>27.546296296296291</c:v>
                </c:pt>
                <c:pt idx="10">
                  <c:v>41.562499999999993</c:v>
                </c:pt>
              </c:numCache>
            </c:numRef>
          </c:xVal>
          <c:yVal>
            <c:numRef>
              <c:f>selectivity!$H$24:$H$34</c:f>
              <c:numCache>
                <c:formatCode>General</c:formatCode>
                <c:ptCount val="11"/>
                <c:pt idx="0">
                  <c:v>8.8163265306124092</c:v>
                </c:pt>
                <c:pt idx="2">
                  <c:v>32.740136054422294</c:v>
                </c:pt>
                <c:pt idx="4">
                  <c:v>22.9375196232339</c:v>
                </c:pt>
                <c:pt idx="5">
                  <c:v>23.81161695447409</c:v>
                </c:pt>
                <c:pt idx="6">
                  <c:v>26.396734693877566</c:v>
                </c:pt>
                <c:pt idx="7">
                  <c:v>26.220531721460528</c:v>
                </c:pt>
                <c:pt idx="8">
                  <c:v>20.291616954474101</c:v>
                </c:pt>
                <c:pt idx="10">
                  <c:v>31.248918361947066</c:v>
                </c:pt>
              </c:numCache>
            </c:numRef>
          </c:yVal>
        </c:ser>
        <c:ser>
          <c:idx val="5"/>
          <c:order val="5"/>
          <c:tx>
            <c:v>44.7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selectivity!$I$40:$I$48</c:f>
                <c:numCache>
                  <c:formatCode>General</c:formatCode>
                  <c:ptCount val="9"/>
                  <c:pt idx="0">
                    <c:v>24.705192703043487</c:v>
                  </c:pt>
                  <c:pt idx="2">
                    <c:v>5.99936059201577</c:v>
                  </c:pt>
                  <c:pt idx="3">
                    <c:v>3.7599987027824873</c:v>
                  </c:pt>
                  <c:pt idx="4">
                    <c:v>15.334182140580291</c:v>
                  </c:pt>
                  <c:pt idx="5">
                    <c:v>2.2503242048365748</c:v>
                  </c:pt>
                  <c:pt idx="6">
                    <c:v>2.2503242048365748</c:v>
                  </c:pt>
                  <c:pt idx="8">
                    <c:v>5.1936388410430405</c:v>
                  </c:pt>
                </c:numCache>
              </c:numRef>
            </c:plus>
            <c:minus>
              <c:numRef>
                <c:f>selectivity!$I$40:$I$48</c:f>
                <c:numCache>
                  <c:formatCode>General</c:formatCode>
                  <c:ptCount val="9"/>
                  <c:pt idx="0">
                    <c:v>24.705192703043487</c:v>
                  </c:pt>
                  <c:pt idx="2">
                    <c:v>5.99936059201577</c:v>
                  </c:pt>
                  <c:pt idx="3">
                    <c:v>3.7599987027824873</c:v>
                  </c:pt>
                  <c:pt idx="4">
                    <c:v>15.334182140580291</c:v>
                  </c:pt>
                  <c:pt idx="5">
                    <c:v>2.2503242048365748</c:v>
                  </c:pt>
                  <c:pt idx="6">
                    <c:v>2.2503242048365748</c:v>
                  </c:pt>
                  <c:pt idx="8">
                    <c:v>5.1936388410430405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selectivity!$I$8:$I$16</c:f>
              <c:numCache>
                <c:formatCode>General</c:formatCode>
                <c:ptCount val="9"/>
                <c:pt idx="0">
                  <c:v>2.0737327188940142</c:v>
                </c:pt>
                <c:pt idx="2">
                  <c:v>3.225806451612911</c:v>
                </c:pt>
                <c:pt idx="3">
                  <c:v>6.2980030721966216</c:v>
                </c:pt>
                <c:pt idx="4">
                  <c:v>9.1141833077317003</c:v>
                </c:pt>
                <c:pt idx="5">
                  <c:v>8.602150537634401</c:v>
                </c:pt>
                <c:pt idx="6">
                  <c:v>18.394777265745009</c:v>
                </c:pt>
                <c:pt idx="8">
                  <c:v>30.337941628264215</c:v>
                </c:pt>
              </c:numCache>
            </c:numRef>
          </c:xVal>
          <c:yVal>
            <c:numRef>
              <c:f>selectivity!$I$26:$I$34</c:f>
              <c:numCache>
                <c:formatCode>General</c:formatCode>
                <c:ptCount val="9"/>
                <c:pt idx="0">
                  <c:v>40.504489795918268</c:v>
                </c:pt>
                <c:pt idx="2">
                  <c:v>44.023742454728314</c:v>
                </c:pt>
                <c:pt idx="3">
                  <c:v>51.997882949873144</c:v>
                </c:pt>
                <c:pt idx="4">
                  <c:v>56.255392156862683</c:v>
                </c:pt>
                <c:pt idx="5">
                  <c:v>67.472448979591903</c:v>
                </c:pt>
                <c:pt idx="6">
                  <c:v>42.611244037845019</c:v>
                </c:pt>
                <c:pt idx="8">
                  <c:v>49.293895802366002</c:v>
                </c:pt>
              </c:numCache>
            </c:numRef>
          </c:yVal>
        </c:ser>
        <c:ser>
          <c:idx val="6"/>
          <c:order val="6"/>
          <c:tx>
            <c:v>6.3 nm</c:v>
          </c:tx>
          <c:spPr>
            <a:ln w="28575">
              <a:noFill/>
            </a:ln>
          </c:spPr>
          <c:xVal>
            <c:numRef>
              <c:f>selectivity!$C$6:$C$16</c:f>
              <c:numCache>
                <c:formatCode>General</c:formatCode>
                <c:ptCount val="11"/>
                <c:pt idx="0">
                  <c:v>5.1348999129677964</c:v>
                </c:pt>
                <c:pt idx="2">
                  <c:v>10.139251523063528</c:v>
                </c:pt>
                <c:pt idx="4">
                  <c:v>19.06005221932114</c:v>
                </c:pt>
                <c:pt idx="5">
                  <c:v>27.545691906005224</c:v>
                </c:pt>
                <c:pt idx="6">
                  <c:v>34.000580214679424</c:v>
                </c:pt>
                <c:pt idx="7">
                  <c:v>47.345517841601392</c:v>
                </c:pt>
                <c:pt idx="8">
                  <c:v>66.05744125326369</c:v>
                </c:pt>
                <c:pt idx="10">
                  <c:v>95.735422106179286</c:v>
                </c:pt>
              </c:numCache>
            </c:numRef>
          </c:xVal>
          <c:yVal>
            <c:numRef>
              <c:f>selectivity!$C$24:$C$34</c:f>
              <c:numCache>
                <c:formatCode>General</c:formatCode>
                <c:ptCount val="11"/>
                <c:pt idx="0">
                  <c:v>21.779730197163623</c:v>
                </c:pt>
                <c:pt idx="2">
                  <c:v>26.612395308070226</c:v>
                </c:pt>
                <c:pt idx="4">
                  <c:v>30.000687027848084</c:v>
                </c:pt>
                <c:pt idx="5">
                  <c:v>31.748732286873761</c:v>
                </c:pt>
                <c:pt idx="6">
                  <c:v>33.857354283451407</c:v>
                </c:pt>
                <c:pt idx="7">
                  <c:v>30.268172023606024</c:v>
                </c:pt>
                <c:pt idx="8">
                  <c:v>30.268172023606024</c:v>
                </c:pt>
                <c:pt idx="10">
                  <c:v>47.921187384044522</c:v>
                </c:pt>
              </c:numCache>
            </c:numRef>
          </c:yVal>
        </c:ser>
        <c:axId val="99815808"/>
        <c:axId val="99817728"/>
      </c:scatterChart>
      <c:valAx>
        <c:axId val="99815808"/>
        <c:scaling>
          <c:orientation val="minMax"/>
          <c:max val="10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Acetic</a:t>
                </a:r>
                <a:r>
                  <a:rPr lang="en-GB" b="0" baseline="0"/>
                  <a:t> acid conversion (%)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99817728"/>
        <c:crosses val="autoZero"/>
        <c:crossBetween val="midCat"/>
      </c:valAx>
      <c:valAx>
        <c:axId val="99817728"/>
        <c:scaling>
          <c:orientation val="minMax"/>
          <c:max val="8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="0"/>
                  <a:t>Acetone selectivity</a:t>
                </a:r>
                <a:r>
                  <a:rPr lang="en-GB" b="0" baseline="0"/>
                  <a:t> (%)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99815808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534421296296365"/>
          <c:y val="0.62242121212121304"/>
          <c:w val="0.26219467592592627"/>
          <c:h val="0.2451568181818182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Bulk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</a:p>
        </c:rich>
      </c:tx>
      <c:layout>
        <c:manualLayout>
          <c:xMode val="edge"/>
          <c:yMode val="edge"/>
          <c:x val="0.483911805555557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093472222222224"/>
          <c:y val="7.3063636363636983E-2"/>
          <c:w val="0.82199884259260037"/>
          <c:h val="0.8108775252525251"/>
        </c:manualLayout>
      </c:layout>
      <c:scatterChart>
        <c:scatterStyle val="lineMarker"/>
        <c:ser>
          <c:idx val="0"/>
          <c:order val="0"/>
          <c:tx>
            <c:v>24.9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selectivity!$J$38:$J$48</c:f>
                <c:numCache>
                  <c:formatCode>General</c:formatCode>
                  <c:ptCount val="11"/>
                  <c:pt idx="0">
                    <c:v>10.009424449789874</c:v>
                  </c:pt>
                  <c:pt idx="2">
                    <c:v>8.0415440163105938</c:v>
                  </c:pt>
                  <c:pt idx="4">
                    <c:v>0.47684517547114103</c:v>
                  </c:pt>
                  <c:pt idx="5">
                    <c:v>1.0514213159642483</c:v>
                  </c:pt>
                  <c:pt idx="6">
                    <c:v>2.0437810479798872</c:v>
                  </c:pt>
                  <c:pt idx="7">
                    <c:v>1.1323351978926079</c:v>
                  </c:pt>
                  <c:pt idx="8">
                    <c:v>1.8307535299135114</c:v>
                  </c:pt>
                  <c:pt idx="10">
                    <c:v>4.6844402496106818</c:v>
                  </c:pt>
                </c:numCache>
              </c:numRef>
            </c:plus>
            <c:minus>
              <c:numRef>
                <c:f>selectivity!$J$38:$J$48</c:f>
                <c:numCache>
                  <c:formatCode>General</c:formatCode>
                  <c:ptCount val="11"/>
                  <c:pt idx="0">
                    <c:v>10.009424449789874</c:v>
                  </c:pt>
                  <c:pt idx="2">
                    <c:v>8.0415440163105938</c:v>
                  </c:pt>
                  <c:pt idx="4">
                    <c:v>0.47684517547114103</c:v>
                  </c:pt>
                  <c:pt idx="5">
                    <c:v>1.0514213159642483</c:v>
                  </c:pt>
                  <c:pt idx="6">
                    <c:v>2.0437810479798872</c:v>
                  </c:pt>
                  <c:pt idx="7">
                    <c:v>1.1323351978926079</c:v>
                  </c:pt>
                  <c:pt idx="8">
                    <c:v>1.8307535299135114</c:v>
                  </c:pt>
                  <c:pt idx="10">
                    <c:v>4.6844402496106818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selectivity!$J$6:$J$16</c:f>
              <c:numCache>
                <c:formatCode>General</c:formatCode>
                <c:ptCount val="11"/>
                <c:pt idx="0">
                  <c:v>7.0167213627129286</c:v>
                </c:pt>
                <c:pt idx="2">
                  <c:v>16.914101161639849</c:v>
                </c:pt>
                <c:pt idx="4">
                  <c:v>43.018440381309581</c:v>
                </c:pt>
                <c:pt idx="5">
                  <c:v>64.955461790904835</c:v>
                </c:pt>
                <c:pt idx="6">
                  <c:v>81.377298536229617</c:v>
                </c:pt>
                <c:pt idx="7">
                  <c:v>87.081314788769077</c:v>
                </c:pt>
                <c:pt idx="8">
                  <c:v>97.03078606032193</c:v>
                </c:pt>
                <c:pt idx="10">
                  <c:v>99.433505235192996</c:v>
                </c:pt>
              </c:numCache>
            </c:numRef>
          </c:xVal>
          <c:yVal>
            <c:numRef>
              <c:f>selectivity!$J$24:$J$34</c:f>
              <c:numCache>
                <c:formatCode>General</c:formatCode>
                <c:ptCount val="11"/>
                <c:pt idx="0">
                  <c:v>38.163987867477836</c:v>
                </c:pt>
                <c:pt idx="2">
                  <c:v>55.523174703190399</c:v>
                </c:pt>
                <c:pt idx="4">
                  <c:v>43.858812421635804</c:v>
                </c:pt>
                <c:pt idx="5">
                  <c:v>35.541307736164313</c:v>
                </c:pt>
                <c:pt idx="6">
                  <c:v>54.555549444465619</c:v>
                </c:pt>
                <c:pt idx="7">
                  <c:v>59.702149140678578</c:v>
                </c:pt>
                <c:pt idx="8">
                  <c:v>67.14830989045646</c:v>
                </c:pt>
                <c:pt idx="10">
                  <c:v>69.845656403901685</c:v>
                </c:pt>
              </c:numCache>
            </c:numRef>
          </c:yVal>
        </c:ser>
        <c:ser>
          <c:idx val="1"/>
          <c:order val="1"/>
          <c:tx>
            <c:v>29.5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selectivity!$K$38:$K$48</c:f>
                <c:numCache>
                  <c:formatCode>General</c:formatCode>
                  <c:ptCount val="11"/>
                  <c:pt idx="0">
                    <c:v>32.008807345585303</c:v>
                  </c:pt>
                  <c:pt idx="2">
                    <c:v>1.0344768743220576</c:v>
                  </c:pt>
                  <c:pt idx="4">
                    <c:v>0.80860106077923699</c:v>
                  </c:pt>
                  <c:pt idx="5">
                    <c:v>0.61235230702491417</c:v>
                  </c:pt>
                  <c:pt idx="6">
                    <c:v>1.0141102141222607</c:v>
                  </c:pt>
                  <c:pt idx="7">
                    <c:v>2.0718130598392044</c:v>
                  </c:pt>
                  <c:pt idx="8">
                    <c:v>0.94402645270695007</c:v>
                  </c:pt>
                  <c:pt idx="10">
                    <c:v>2.2001440292756129</c:v>
                  </c:pt>
                </c:numCache>
              </c:numRef>
            </c:plus>
            <c:minus>
              <c:numRef>
                <c:f>selectivity!$K$38:$K$48</c:f>
                <c:numCache>
                  <c:formatCode>General</c:formatCode>
                  <c:ptCount val="11"/>
                  <c:pt idx="0">
                    <c:v>32.008807345585303</c:v>
                  </c:pt>
                  <c:pt idx="2">
                    <c:v>1.0344768743220576</c:v>
                  </c:pt>
                  <c:pt idx="4">
                    <c:v>0.80860106077923699</c:v>
                  </c:pt>
                  <c:pt idx="5">
                    <c:v>0.61235230702491417</c:v>
                  </c:pt>
                  <c:pt idx="6">
                    <c:v>1.0141102141222607</c:v>
                  </c:pt>
                  <c:pt idx="7">
                    <c:v>2.0718130598392044</c:v>
                  </c:pt>
                  <c:pt idx="8">
                    <c:v>0.94402645270695007</c:v>
                  </c:pt>
                  <c:pt idx="10">
                    <c:v>2.2001440292756129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selectivity!$K$6:$K$16</c:f>
              <c:numCache>
                <c:formatCode>General</c:formatCode>
                <c:ptCount val="11"/>
                <c:pt idx="0">
                  <c:v>4.3303121852970845</c:v>
                </c:pt>
                <c:pt idx="2">
                  <c:v>17.99741044454035</c:v>
                </c:pt>
                <c:pt idx="4">
                  <c:v>46.338656308444826</c:v>
                </c:pt>
                <c:pt idx="5">
                  <c:v>58.734954203232149</c:v>
                </c:pt>
                <c:pt idx="6">
                  <c:v>69.380904426221647</c:v>
                </c:pt>
                <c:pt idx="7">
                  <c:v>78.947873207691941</c:v>
                </c:pt>
                <c:pt idx="8">
                  <c:v>91.344171102479265</c:v>
                </c:pt>
                <c:pt idx="10">
                  <c:v>98.16093607634393</c:v>
                </c:pt>
              </c:numCache>
            </c:numRef>
          </c:xVal>
          <c:yVal>
            <c:numRef>
              <c:f>selectivity!$K$24:$K$34</c:f>
              <c:numCache>
                <c:formatCode>General</c:formatCode>
                <c:ptCount val="11"/>
                <c:pt idx="0">
                  <c:v>28.230277185500995</c:v>
                </c:pt>
                <c:pt idx="2">
                  <c:v>31.525957506712597</c:v>
                </c:pt>
                <c:pt idx="4">
                  <c:v>29.896556332885226</c:v>
                </c:pt>
                <c:pt idx="5">
                  <c:v>29.122753437592721</c:v>
                </c:pt>
                <c:pt idx="6">
                  <c:v>44.026721559402098</c:v>
                </c:pt>
                <c:pt idx="7">
                  <c:v>49.649332182016813</c:v>
                </c:pt>
                <c:pt idx="8">
                  <c:v>60.052182330124936</c:v>
                </c:pt>
                <c:pt idx="10">
                  <c:v>72.305415808894963</c:v>
                </c:pt>
              </c:numCache>
            </c:numRef>
          </c:yVal>
        </c:ser>
        <c:ser>
          <c:idx val="4"/>
          <c:order val="2"/>
          <c:tx>
            <c:v>49.6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selectivity!$N$38:$N$48</c:f>
                <c:numCache>
                  <c:formatCode>General</c:formatCode>
                  <c:ptCount val="11"/>
                  <c:pt idx="0">
                    <c:v>10.613321018074068</c:v>
                  </c:pt>
                  <c:pt idx="2">
                    <c:v>5.0632699785137278</c:v>
                  </c:pt>
                  <c:pt idx="4">
                    <c:v>2.5914210117130811</c:v>
                  </c:pt>
                  <c:pt idx="5">
                    <c:v>0.47830682683107151</c:v>
                  </c:pt>
                  <c:pt idx="6">
                    <c:v>2.6676967357244004</c:v>
                  </c:pt>
                  <c:pt idx="7">
                    <c:v>1.0405797668131547</c:v>
                  </c:pt>
                  <c:pt idx="8">
                    <c:v>0.94551740550162866</c:v>
                  </c:pt>
                  <c:pt idx="10">
                    <c:v>1.4198520209200751</c:v>
                  </c:pt>
                </c:numCache>
              </c:numRef>
            </c:plus>
            <c:minus>
              <c:numRef>
                <c:f>selectivity!$N$38:$N$48</c:f>
                <c:numCache>
                  <c:formatCode>General</c:formatCode>
                  <c:ptCount val="11"/>
                  <c:pt idx="0">
                    <c:v>10.613321018074068</c:v>
                  </c:pt>
                  <c:pt idx="2">
                    <c:v>5.0632699785137278</c:v>
                  </c:pt>
                  <c:pt idx="4">
                    <c:v>2.5914210117130811</c:v>
                  </c:pt>
                  <c:pt idx="5">
                    <c:v>0.47830682683107151</c:v>
                  </c:pt>
                  <c:pt idx="6">
                    <c:v>2.6676967357244004</c:v>
                  </c:pt>
                  <c:pt idx="7">
                    <c:v>1.0405797668131547</c:v>
                  </c:pt>
                  <c:pt idx="8">
                    <c:v>0.94551740550162866</c:v>
                  </c:pt>
                  <c:pt idx="10">
                    <c:v>1.4198520209200751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selectivity!$N$6:$N$16</c:f>
              <c:numCache>
                <c:formatCode>General</c:formatCode>
                <c:ptCount val="11"/>
                <c:pt idx="0">
                  <c:v>2.0413755308946357</c:v>
                </c:pt>
                <c:pt idx="2">
                  <c:v>13.001781065899431</c:v>
                </c:pt>
                <c:pt idx="4">
                  <c:v>42.914554505183354</c:v>
                </c:pt>
                <c:pt idx="5">
                  <c:v>57.437091839064713</c:v>
                </c:pt>
                <c:pt idx="6">
                  <c:v>66.525094761839512</c:v>
                </c:pt>
                <c:pt idx="7">
                  <c:v>81.80115997625245</c:v>
                </c:pt>
                <c:pt idx="8">
                  <c:v>91.439466593597288</c:v>
                </c:pt>
                <c:pt idx="10">
                  <c:v>98.47696031419828</c:v>
                </c:pt>
              </c:numCache>
            </c:numRef>
          </c:xVal>
          <c:yVal>
            <c:numRef>
              <c:f>selectivity!$N$24:$N$34</c:f>
              <c:numCache>
                <c:formatCode>General</c:formatCode>
                <c:ptCount val="11"/>
                <c:pt idx="0">
                  <c:v>27.617425174226003</c:v>
                </c:pt>
                <c:pt idx="2">
                  <c:v>35.824148507368996</c:v>
                </c:pt>
                <c:pt idx="4">
                  <c:v>30.025031242088858</c:v>
                </c:pt>
                <c:pt idx="5">
                  <c:v>29.081701720396083</c:v>
                </c:pt>
                <c:pt idx="6">
                  <c:v>33.660327687514815</c:v>
                </c:pt>
                <c:pt idx="7">
                  <c:v>52.680540687153119</c:v>
                </c:pt>
                <c:pt idx="8">
                  <c:v>59.818529850111013</c:v>
                </c:pt>
                <c:pt idx="10">
                  <c:v>72.83173933876003</c:v>
                </c:pt>
              </c:numCache>
            </c:numRef>
          </c:yVal>
        </c:ser>
        <c:ser>
          <c:idx val="2"/>
          <c:order val="3"/>
          <c:tx>
            <c:v>52.5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selectivity!$L$38:$L$48</c:f>
                <c:numCache>
                  <c:formatCode>General</c:formatCode>
                  <c:ptCount val="11"/>
                  <c:pt idx="0">
                    <c:v>2.0799923123348645</c:v>
                  </c:pt>
                  <c:pt idx="2">
                    <c:v>3.2854398643077185</c:v>
                  </c:pt>
                  <c:pt idx="4">
                    <c:v>1.5575516757564927</c:v>
                  </c:pt>
                  <c:pt idx="5">
                    <c:v>0.45220908420477679</c:v>
                  </c:pt>
                  <c:pt idx="6">
                    <c:v>1.5797428556077979</c:v>
                  </c:pt>
                  <c:pt idx="7">
                    <c:v>1.70199102456808</c:v>
                  </c:pt>
                  <c:pt idx="8">
                    <c:v>1.7624920565679438</c:v>
                  </c:pt>
                  <c:pt idx="10">
                    <c:v>1.5270276249394845</c:v>
                  </c:pt>
                </c:numCache>
              </c:numRef>
            </c:plus>
            <c:minus>
              <c:numRef>
                <c:f>selectivity!$L$38:$L$48</c:f>
                <c:numCache>
                  <c:formatCode>General</c:formatCode>
                  <c:ptCount val="11"/>
                  <c:pt idx="0">
                    <c:v>2.0799923123348645</c:v>
                  </c:pt>
                  <c:pt idx="2">
                    <c:v>3.2854398643077185</c:v>
                  </c:pt>
                  <c:pt idx="4">
                    <c:v>1.5575516757564927</c:v>
                  </c:pt>
                  <c:pt idx="5">
                    <c:v>0.45220908420477679</c:v>
                  </c:pt>
                  <c:pt idx="6">
                    <c:v>1.5797428556077979</c:v>
                  </c:pt>
                  <c:pt idx="7">
                    <c:v>1.70199102456808</c:v>
                  </c:pt>
                  <c:pt idx="8">
                    <c:v>1.7624920565679438</c:v>
                  </c:pt>
                  <c:pt idx="10">
                    <c:v>1.5270276249394845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selectivity!$L$6:$L$16</c:f>
              <c:numCache>
                <c:formatCode>General</c:formatCode>
                <c:ptCount val="11"/>
                <c:pt idx="0">
                  <c:v>3.0732860520094554</c:v>
                </c:pt>
                <c:pt idx="2">
                  <c:v>8.2742316784869985</c:v>
                </c:pt>
                <c:pt idx="4">
                  <c:v>27.375886524822693</c:v>
                </c:pt>
                <c:pt idx="5">
                  <c:v>40.567375886524822</c:v>
                </c:pt>
                <c:pt idx="6">
                  <c:v>46.43026004728133</c:v>
                </c:pt>
                <c:pt idx="7">
                  <c:v>54.373522458628848</c:v>
                </c:pt>
                <c:pt idx="8">
                  <c:v>77.37588652482269</c:v>
                </c:pt>
                <c:pt idx="10">
                  <c:v>94.555555555555557</c:v>
                </c:pt>
              </c:numCache>
            </c:numRef>
          </c:xVal>
          <c:yVal>
            <c:numRef>
              <c:f>selectivity!$L$24:$L$34</c:f>
              <c:numCache>
                <c:formatCode>General</c:formatCode>
                <c:ptCount val="11"/>
                <c:pt idx="0">
                  <c:v>6.5589893100097241</c:v>
                </c:pt>
                <c:pt idx="2">
                  <c:v>32.448867459071536</c:v>
                </c:pt>
                <c:pt idx="4">
                  <c:v>33.945966958211862</c:v>
                </c:pt>
                <c:pt idx="5">
                  <c:v>34.204717425265358</c:v>
                </c:pt>
                <c:pt idx="6">
                  <c:v>30.18505893354828</c:v>
                </c:pt>
                <c:pt idx="7">
                  <c:v>35.860930923850724</c:v>
                </c:pt>
                <c:pt idx="8">
                  <c:v>53.951371775862299</c:v>
                </c:pt>
                <c:pt idx="10">
                  <c:v>65.741937411968706</c:v>
                </c:pt>
              </c:numCache>
            </c:numRef>
          </c:yVal>
        </c:ser>
        <c:ser>
          <c:idx val="5"/>
          <c:order val="4"/>
          <c:tx>
            <c:v>57.0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selectivity!$O$38:$O$48</c:f>
                <c:numCache>
                  <c:formatCode>General</c:formatCode>
                  <c:ptCount val="11"/>
                  <c:pt idx="0">
                    <c:v>9.8805633318855435</c:v>
                  </c:pt>
                  <c:pt idx="2">
                    <c:v>3.9089959708119353</c:v>
                  </c:pt>
                  <c:pt idx="4">
                    <c:v>1.3247036876726688</c:v>
                  </c:pt>
                  <c:pt idx="5">
                    <c:v>0.57308646730628243</c:v>
                  </c:pt>
                  <c:pt idx="6">
                    <c:v>1.556529193967702</c:v>
                  </c:pt>
                  <c:pt idx="7">
                    <c:v>1.2278396432614795</c:v>
                  </c:pt>
                  <c:pt idx="8">
                    <c:v>0.92114137204806479</c:v>
                  </c:pt>
                  <c:pt idx="10">
                    <c:v>1.8584347511671275</c:v>
                  </c:pt>
                </c:numCache>
              </c:numRef>
            </c:plus>
            <c:minus>
              <c:numRef>
                <c:f>selectivity!$O$38:$O$48</c:f>
                <c:numCache>
                  <c:formatCode>General</c:formatCode>
                  <c:ptCount val="11"/>
                  <c:pt idx="0">
                    <c:v>9.8805633318855435</c:v>
                  </c:pt>
                  <c:pt idx="2">
                    <c:v>3.9089959708119353</c:v>
                  </c:pt>
                  <c:pt idx="4">
                    <c:v>1.3247036876726688</c:v>
                  </c:pt>
                  <c:pt idx="5">
                    <c:v>0.57308646730628243</c:v>
                  </c:pt>
                  <c:pt idx="6">
                    <c:v>1.556529193967702</c:v>
                  </c:pt>
                  <c:pt idx="7">
                    <c:v>1.2278396432614795</c:v>
                  </c:pt>
                  <c:pt idx="8">
                    <c:v>0.92114137204806479</c:v>
                  </c:pt>
                  <c:pt idx="10">
                    <c:v>1.8584347511671275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selectivity!$O$6:$O$16</c:f>
              <c:numCache>
                <c:formatCode>General</c:formatCode>
                <c:ptCount val="11"/>
                <c:pt idx="0">
                  <c:v>6.2222222222222285</c:v>
                </c:pt>
                <c:pt idx="2">
                  <c:v>14.444444444444448</c:v>
                </c:pt>
                <c:pt idx="4">
                  <c:v>28.444444444444446</c:v>
                </c:pt>
                <c:pt idx="5">
                  <c:v>45.955555555555556</c:v>
                </c:pt>
                <c:pt idx="6">
                  <c:v>63.177777777777784</c:v>
                </c:pt>
                <c:pt idx="7">
                  <c:v>85.191111111111113</c:v>
                </c:pt>
                <c:pt idx="8">
                  <c:v>89.511111111111106</c:v>
                </c:pt>
                <c:pt idx="10">
                  <c:v>98.502222222222215</c:v>
                </c:pt>
              </c:numCache>
            </c:numRef>
          </c:xVal>
          <c:yVal>
            <c:numRef>
              <c:f>selectivity!$O$24:$O$34</c:f>
              <c:numCache>
                <c:formatCode>General</c:formatCode>
                <c:ptCount val="11"/>
                <c:pt idx="0">
                  <c:v>43.241805813234315</c:v>
                </c:pt>
                <c:pt idx="2">
                  <c:v>41.743640486497618</c:v>
                </c:pt>
                <c:pt idx="4">
                  <c:v>41.693792116532642</c:v>
                </c:pt>
                <c:pt idx="5">
                  <c:v>36.004475386005105</c:v>
                </c:pt>
                <c:pt idx="6">
                  <c:v>33.278077509523357</c:v>
                </c:pt>
                <c:pt idx="7">
                  <c:v>52.242702503673542</c:v>
                </c:pt>
                <c:pt idx="8">
                  <c:v>63.33488763434908</c:v>
                </c:pt>
                <c:pt idx="10">
                  <c:v>71.103362763388589</c:v>
                </c:pt>
              </c:numCache>
            </c:numRef>
          </c:yVal>
        </c:ser>
        <c:ser>
          <c:idx val="6"/>
          <c:order val="5"/>
          <c:tx>
            <c:v>67.0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selectivity!$P$38:$P$48</c:f>
                <c:numCache>
                  <c:formatCode>General</c:formatCode>
                  <c:ptCount val="11"/>
                  <c:pt idx="0">
                    <c:v>40.795546971943388</c:v>
                  </c:pt>
                  <c:pt idx="2">
                    <c:v>3.8604908314951292</c:v>
                  </c:pt>
                  <c:pt idx="4">
                    <c:v>3.3666877188149704</c:v>
                  </c:pt>
                  <c:pt idx="5">
                    <c:v>3.1331880012308413</c:v>
                  </c:pt>
                  <c:pt idx="6">
                    <c:v>0.47976149042755822</c:v>
                  </c:pt>
                  <c:pt idx="7">
                    <c:v>5.8977241122587305</c:v>
                  </c:pt>
                  <c:pt idx="8">
                    <c:v>2.4089141201354085</c:v>
                  </c:pt>
                  <c:pt idx="9">
                    <c:v>5.1455482599360808E-2</c:v>
                  </c:pt>
                  <c:pt idx="10">
                    <c:v>0.4713115148280399</c:v>
                  </c:pt>
                </c:numCache>
              </c:numRef>
            </c:plus>
            <c:minus>
              <c:numRef>
                <c:f>selectivity!$P$38:$P$48</c:f>
                <c:numCache>
                  <c:formatCode>General</c:formatCode>
                  <c:ptCount val="11"/>
                  <c:pt idx="0">
                    <c:v>40.795546971943388</c:v>
                  </c:pt>
                  <c:pt idx="2">
                    <c:v>3.8604908314951292</c:v>
                  </c:pt>
                  <c:pt idx="4">
                    <c:v>3.3666877188149704</c:v>
                  </c:pt>
                  <c:pt idx="5">
                    <c:v>3.1331880012308413</c:v>
                  </c:pt>
                  <c:pt idx="6">
                    <c:v>0.47976149042755822</c:v>
                  </c:pt>
                  <c:pt idx="7">
                    <c:v>5.8977241122587305</c:v>
                  </c:pt>
                  <c:pt idx="8">
                    <c:v>2.4089141201354085</c:v>
                  </c:pt>
                  <c:pt idx="9">
                    <c:v>5.1455482599360808E-2</c:v>
                  </c:pt>
                  <c:pt idx="10">
                    <c:v>0.4713115148280399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selectivity!$P$6:$P$16</c:f>
              <c:numCache>
                <c:formatCode>General</c:formatCode>
                <c:ptCount val="11"/>
                <c:pt idx="0">
                  <c:v>3.3195218364528265</c:v>
                </c:pt>
                <c:pt idx="2">
                  <c:v>5.2245558889365213</c:v>
                </c:pt>
                <c:pt idx="4">
                  <c:v>16.17850169071772</c:v>
                </c:pt>
                <c:pt idx="5">
                  <c:v>18.321664999761868</c:v>
                </c:pt>
                <c:pt idx="6">
                  <c:v>18.321664999761865</c:v>
                </c:pt>
                <c:pt idx="7">
                  <c:v>24.036767157212932</c:v>
                </c:pt>
                <c:pt idx="8">
                  <c:v>29.608991760727722</c:v>
                </c:pt>
                <c:pt idx="9">
                  <c:v>45.3969614706863</c:v>
                </c:pt>
                <c:pt idx="10">
                  <c:v>53.302852788493588</c:v>
                </c:pt>
              </c:numCache>
            </c:numRef>
          </c:xVal>
          <c:yVal>
            <c:numRef>
              <c:f>selectivity!$P$24:$P$34</c:f>
              <c:numCache>
                <c:formatCode>General</c:formatCode>
                <c:ptCount val="11"/>
                <c:pt idx="0">
                  <c:v>37.037062865347245</c:v>
                </c:pt>
                <c:pt idx="2">
                  <c:v>45.758987903065595</c:v>
                </c:pt>
                <c:pt idx="4">
                  <c:v>37.374863232046806</c:v>
                </c:pt>
                <c:pt idx="5">
                  <c:v>47.580393259242157</c:v>
                </c:pt>
                <c:pt idx="6">
                  <c:v>49.628833785171601</c:v>
                </c:pt>
                <c:pt idx="7">
                  <c:v>42.301882736911288</c:v>
                </c:pt>
                <c:pt idx="8">
                  <c:v>41.233820120066589</c:v>
                </c:pt>
                <c:pt idx="9">
                  <c:v>39.021333009337937</c:v>
                </c:pt>
                <c:pt idx="10">
                  <c:v>35.6503506386928</c:v>
                </c:pt>
              </c:numCache>
            </c:numRef>
          </c:yVal>
        </c:ser>
        <c:ser>
          <c:idx val="3"/>
          <c:order val="6"/>
          <c:tx>
            <c:v>90.2 nm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selectivity!$M$38:$M$48</c:f>
                <c:numCache>
                  <c:formatCode>General</c:formatCode>
                  <c:ptCount val="11"/>
                  <c:pt idx="2">
                    <c:v>9.6006105361366139</c:v>
                  </c:pt>
                  <c:pt idx="4">
                    <c:v>1.6840697203932933</c:v>
                  </c:pt>
                  <c:pt idx="5">
                    <c:v>3.5846638915174309</c:v>
                  </c:pt>
                  <c:pt idx="6">
                    <c:v>3.1903505856410699</c:v>
                  </c:pt>
                  <c:pt idx="7">
                    <c:v>0.2236455590459582</c:v>
                  </c:pt>
                  <c:pt idx="8">
                    <c:v>1.2991729703394042</c:v>
                  </c:pt>
                  <c:pt idx="10">
                    <c:v>1.9002544872890668</c:v>
                  </c:pt>
                </c:numCache>
              </c:numRef>
            </c:plus>
            <c:minus>
              <c:numRef>
                <c:f>selectivity!$M$38:$M$48</c:f>
                <c:numCache>
                  <c:formatCode>General</c:formatCode>
                  <c:ptCount val="11"/>
                  <c:pt idx="2">
                    <c:v>9.6006105361366139</c:v>
                  </c:pt>
                  <c:pt idx="4">
                    <c:v>1.6840697203932933</c:v>
                  </c:pt>
                  <c:pt idx="5">
                    <c:v>3.5846638915174309</c:v>
                  </c:pt>
                  <c:pt idx="6">
                    <c:v>3.1903505856410699</c:v>
                  </c:pt>
                  <c:pt idx="7">
                    <c:v>0.2236455590459582</c:v>
                  </c:pt>
                  <c:pt idx="8">
                    <c:v>1.2991729703394042</c:v>
                  </c:pt>
                  <c:pt idx="10">
                    <c:v>1.9002544872890668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selectivity!$M$6:$M$16</c:f>
              <c:numCache>
                <c:formatCode>General</c:formatCode>
                <c:ptCount val="11"/>
                <c:pt idx="0">
                  <c:v>0.74074074074073815</c:v>
                </c:pt>
                <c:pt idx="2">
                  <c:v>3.4567901234567842</c:v>
                </c:pt>
                <c:pt idx="4">
                  <c:v>17.283950617283949</c:v>
                </c:pt>
                <c:pt idx="5">
                  <c:v>26.790123456790131</c:v>
                </c:pt>
                <c:pt idx="6">
                  <c:v>34.691358024691361</c:v>
                </c:pt>
                <c:pt idx="7">
                  <c:v>41.456790123456784</c:v>
                </c:pt>
                <c:pt idx="8">
                  <c:v>58.666666666666671</c:v>
                </c:pt>
                <c:pt idx="10">
                  <c:v>84.611111111111114</c:v>
                </c:pt>
              </c:numCache>
            </c:numRef>
          </c:xVal>
          <c:yVal>
            <c:numRef>
              <c:f>selectivity!$M$24:$M$34</c:f>
              <c:numCache>
                <c:formatCode>General</c:formatCode>
                <c:ptCount val="11"/>
                <c:pt idx="0">
                  <c:v>3.6734693877551154</c:v>
                </c:pt>
                <c:pt idx="2">
                  <c:v>51.384839650145885</c:v>
                </c:pt>
                <c:pt idx="4">
                  <c:v>42.455161194912755</c:v>
                </c:pt>
                <c:pt idx="5">
                  <c:v>38.01941557029496</c:v>
                </c:pt>
                <c:pt idx="6">
                  <c:v>33.986128043871382</c:v>
                </c:pt>
                <c:pt idx="7">
                  <c:v>36.493550201039447</c:v>
                </c:pt>
                <c:pt idx="8">
                  <c:v>31.494738273995317</c:v>
                </c:pt>
                <c:pt idx="10">
                  <c:v>51.932808614229231</c:v>
                </c:pt>
              </c:numCache>
            </c:numRef>
          </c:yVal>
        </c:ser>
        <c:axId val="99906304"/>
        <c:axId val="99908224"/>
      </c:scatterChart>
      <c:valAx>
        <c:axId val="99906304"/>
        <c:scaling>
          <c:orientation val="minMax"/>
          <c:max val="10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Acetic</a:t>
                </a:r>
                <a:r>
                  <a:rPr lang="en-GB" b="0" baseline="0"/>
                  <a:t> acid conversion (%)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99908224"/>
        <c:crosses val="autoZero"/>
        <c:crossBetween val="midCat"/>
      </c:valAx>
      <c:valAx>
        <c:axId val="99908224"/>
        <c:scaling>
          <c:orientation val="minMax"/>
          <c:max val="8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</a:t>
                </a:r>
                <a:r>
                  <a:rPr lang="en-GB" b="0" baseline="0"/>
                  <a:t> selectivity (%)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5.4297108965275474E-3"/>
              <c:y val="0.2602684664416947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99906304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7602291666667134"/>
          <c:y val="0.56182803030303596"/>
          <c:w val="0.15342152777777779"/>
          <c:h val="0.3028840909090949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2"/>
          <c:order val="2"/>
          <c:spPr>
            <a:ln w="28575">
              <a:noFill/>
            </a:ln>
          </c:spPr>
          <c:xVal>
            <c:numRef>
              <c:f>'conv and rate'!$X$52:$AB$52</c:f>
              <c:numCache>
                <c:formatCode>General</c:formatCode>
                <c:ptCount val="5"/>
                <c:pt idx="0">
                  <c:v>2.5000000000000001E-2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'conv and rate'!$X$69:$AB$69</c:f>
              <c:numCache>
                <c:formatCode>General</c:formatCode>
                <c:ptCount val="5"/>
                <c:pt idx="0">
                  <c:v>1</c:v>
                </c:pt>
                <c:pt idx="1">
                  <c:v>3.6859821215347157</c:v>
                </c:pt>
                <c:pt idx="2">
                  <c:v>4.8446022037995693</c:v>
                </c:pt>
                <c:pt idx="3">
                  <c:v>5.5521660366052759</c:v>
                </c:pt>
                <c:pt idx="4">
                  <c:v>10.054380701979378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'conv and rate'!$X$52:$AB$52</c:f>
              <c:numCache>
                <c:formatCode>General</c:formatCode>
                <c:ptCount val="5"/>
                <c:pt idx="0">
                  <c:v>2.5000000000000001E-2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'conv and rate'!$X$68:$AB$68</c:f>
              <c:numCache>
                <c:formatCode>General</c:formatCode>
                <c:ptCount val="5"/>
                <c:pt idx="0">
                  <c:v>1</c:v>
                </c:pt>
                <c:pt idx="1">
                  <c:v>2.5343588414274949</c:v>
                </c:pt>
                <c:pt idx="2">
                  <c:v>3.8091164641393669</c:v>
                </c:pt>
                <c:pt idx="3">
                  <c:v>6.310365568304797</c:v>
                </c:pt>
                <c:pt idx="4">
                  <c:v>8.6639044041647271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xVal>
            <c:numRef>
              <c:f>'conv and rate'!$X$52:$AB$52</c:f>
              <c:numCache>
                <c:formatCode>General</c:formatCode>
                <c:ptCount val="5"/>
                <c:pt idx="0">
                  <c:v>2.5000000000000001E-2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</c:numCache>
            </c:numRef>
          </c:xVal>
          <c:yVal>
            <c:numRef>
              <c:f>'conv and rate'!$X$67:$AB$67</c:f>
              <c:numCache>
                <c:formatCode>General</c:formatCode>
                <c:ptCount val="5"/>
                <c:pt idx="0">
                  <c:v>1</c:v>
                </c:pt>
                <c:pt idx="1">
                  <c:v>1.4197330007978748</c:v>
                </c:pt>
                <c:pt idx="2">
                  <c:v>2.4530253302764375</c:v>
                </c:pt>
                <c:pt idx="3">
                  <c:v>5.584275345328046</c:v>
                </c:pt>
                <c:pt idx="4">
                  <c:v>7.1123885441867696</c:v>
                </c:pt>
              </c:numCache>
            </c:numRef>
          </c:yVal>
        </c:ser>
        <c:axId val="85464576"/>
        <c:axId val="85466112"/>
      </c:scatterChart>
      <c:valAx>
        <c:axId val="85464576"/>
        <c:scaling>
          <c:orientation val="minMax"/>
        </c:scaling>
        <c:axPos val="b"/>
        <c:numFmt formatCode="General" sourceLinked="1"/>
        <c:tickLblPos val="nextTo"/>
        <c:crossAx val="85466112"/>
        <c:crosses val="autoZero"/>
        <c:crossBetween val="midCat"/>
      </c:valAx>
      <c:valAx>
        <c:axId val="85466112"/>
        <c:scaling>
          <c:orientation val="minMax"/>
        </c:scaling>
        <c:axPos val="l"/>
        <c:majorGridlines/>
        <c:numFmt formatCode="General" sourceLinked="1"/>
        <c:tickLblPos val="nextTo"/>
        <c:crossAx val="854645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 i="0"/>
              <a:t>Selectivity</a:t>
            </a:r>
            <a:r>
              <a:rPr lang="en-GB" sz="1200" b="0" i="0" baseline="0"/>
              <a:t> vs particle size for Fe3O4/SiO2</a:t>
            </a:r>
            <a:endParaRPr lang="en-GB" sz="1200" b="0" i="0"/>
          </a:p>
        </c:rich>
      </c:tx>
      <c:layout>
        <c:manualLayout>
          <c:xMode val="edge"/>
          <c:yMode val="edge"/>
          <c:x val="0.2255645833333334"/>
          <c:y val="9.621212121212099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6438217592592588"/>
          <c:y val="6.7677272727272725E-2"/>
          <c:w val="0.79635069444444462"/>
          <c:h val="0.80387424242424599"/>
        </c:manualLayout>
      </c:layout>
      <c:scatterChart>
        <c:scatterStyle val="lineMarker"/>
        <c:ser>
          <c:idx val="0"/>
          <c:order val="0"/>
          <c:tx>
            <c:v>400 C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selectivity!$E$76:$E$81</c:f>
                <c:numCache>
                  <c:formatCode>General</c:formatCode>
                  <c:ptCount val="6"/>
                  <c:pt idx="0">
                    <c:v>0.376425960282123</c:v>
                  </c:pt>
                  <c:pt idx="1">
                    <c:v>0.96064133589979317</c:v>
                  </c:pt>
                  <c:pt idx="2">
                    <c:v>1.5787424472752472</c:v>
                  </c:pt>
                  <c:pt idx="3">
                    <c:v>3.985961524708808</c:v>
                  </c:pt>
                  <c:pt idx="4">
                    <c:v>0.47579443200232846</c:v>
                  </c:pt>
                  <c:pt idx="5">
                    <c:v>15.334182140580291</c:v>
                  </c:pt>
                </c:numCache>
              </c:numRef>
            </c:plus>
            <c:minus>
              <c:numRef>
                <c:f>selectivity!$E$76:$E$81</c:f>
                <c:numCache>
                  <c:formatCode>General</c:formatCode>
                  <c:ptCount val="6"/>
                  <c:pt idx="0">
                    <c:v>0.376425960282123</c:v>
                  </c:pt>
                  <c:pt idx="1">
                    <c:v>0.96064133589979317</c:v>
                  </c:pt>
                  <c:pt idx="2">
                    <c:v>1.5787424472752472</c:v>
                  </c:pt>
                  <c:pt idx="3">
                    <c:v>3.985961524708808</c:v>
                  </c:pt>
                  <c:pt idx="4">
                    <c:v>0.47579443200232846</c:v>
                  </c:pt>
                  <c:pt idx="5">
                    <c:v>15.334182140580291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selectivity!$B$61:$B$66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selectivity!$E$61:$E$66</c:f>
              <c:numCache>
                <c:formatCode>General</c:formatCode>
                <c:ptCount val="6"/>
                <c:pt idx="0">
                  <c:v>32.974003662519586</c:v>
                </c:pt>
                <c:pt idx="1">
                  <c:v>53.367741602783383</c:v>
                </c:pt>
                <c:pt idx="2">
                  <c:v>32.620899116336332</c:v>
                </c:pt>
                <c:pt idx="3">
                  <c:v>30.797789115646271</c:v>
                </c:pt>
                <c:pt idx="4">
                  <c:v>26.396734693877566</c:v>
                </c:pt>
                <c:pt idx="5">
                  <c:v>56.255392156862683</c:v>
                </c:pt>
              </c:numCache>
            </c:numRef>
          </c:yVal>
        </c:ser>
        <c:ser>
          <c:idx val="1"/>
          <c:order val="1"/>
          <c:tx>
            <c:v>425 C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selectivity!$F$76:$F$88</c:f>
                <c:numCache>
                  <c:formatCode>General</c:formatCode>
                  <c:ptCount val="13"/>
                  <c:pt idx="0">
                    <c:v>0.18071556282028528</c:v>
                  </c:pt>
                  <c:pt idx="1">
                    <c:v>0.6181213107483412</c:v>
                  </c:pt>
                  <c:pt idx="2">
                    <c:v>0.14000411877431779</c:v>
                  </c:pt>
                  <c:pt idx="3">
                    <c:v>0.4471331988280382</c:v>
                  </c:pt>
                  <c:pt idx="4">
                    <c:v>0.27426961269811667</c:v>
                  </c:pt>
                  <c:pt idx="5">
                    <c:v>2.2503242048365748</c:v>
                  </c:pt>
                  <c:pt idx="6">
                    <c:v>1.8307535299135114</c:v>
                  </c:pt>
                  <c:pt idx="7">
                    <c:v>0.94402645270695007</c:v>
                  </c:pt>
                  <c:pt idx="8">
                    <c:v>1.7624920565679438</c:v>
                  </c:pt>
                  <c:pt idx="9">
                    <c:v>1.2991729703394042</c:v>
                  </c:pt>
                  <c:pt idx="10">
                    <c:v>0.94551740550162866</c:v>
                  </c:pt>
                  <c:pt idx="11">
                    <c:v>0.92114137204806479</c:v>
                  </c:pt>
                  <c:pt idx="12">
                    <c:v>2.4089141201354085</c:v>
                  </c:pt>
                </c:numCache>
              </c:numRef>
            </c:plus>
            <c:minus>
              <c:numRef>
                <c:f>selectivity!$F$76:$F$88</c:f>
                <c:numCache>
                  <c:formatCode>General</c:formatCode>
                  <c:ptCount val="13"/>
                  <c:pt idx="0">
                    <c:v>0.18071556282028528</c:v>
                  </c:pt>
                  <c:pt idx="1">
                    <c:v>0.6181213107483412</c:v>
                  </c:pt>
                  <c:pt idx="2">
                    <c:v>0.14000411877431779</c:v>
                  </c:pt>
                  <c:pt idx="3">
                    <c:v>0.4471331988280382</c:v>
                  </c:pt>
                  <c:pt idx="4">
                    <c:v>0.27426961269811667</c:v>
                  </c:pt>
                  <c:pt idx="5">
                    <c:v>2.2503242048365748</c:v>
                  </c:pt>
                  <c:pt idx="6">
                    <c:v>1.8307535299135114</c:v>
                  </c:pt>
                  <c:pt idx="7">
                    <c:v>0.94402645270695007</c:v>
                  </c:pt>
                  <c:pt idx="8">
                    <c:v>1.7624920565679438</c:v>
                  </c:pt>
                  <c:pt idx="9">
                    <c:v>1.2991729703394042</c:v>
                  </c:pt>
                  <c:pt idx="10">
                    <c:v>0.94551740550162866</c:v>
                  </c:pt>
                  <c:pt idx="11">
                    <c:v>0.92114137204806479</c:v>
                  </c:pt>
                  <c:pt idx="12">
                    <c:v>2.4089141201354085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selectivity!$B$61:$B$66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selectivity!$F$61:$F$66</c:f>
              <c:numCache>
                <c:formatCode>General</c:formatCode>
                <c:ptCount val="6"/>
                <c:pt idx="0">
                  <c:v>31.98021194394406</c:v>
                </c:pt>
                <c:pt idx="1">
                  <c:v>33.662526843580402</c:v>
                </c:pt>
                <c:pt idx="2">
                  <c:v>29.333306486932511</c:v>
                </c:pt>
                <c:pt idx="3">
                  <c:v>35.779394063389766</c:v>
                </c:pt>
                <c:pt idx="4">
                  <c:v>20.291616954474101</c:v>
                </c:pt>
                <c:pt idx="5">
                  <c:v>42.611244037845019</c:v>
                </c:pt>
              </c:numCache>
            </c:numRef>
          </c:yVal>
        </c:ser>
        <c:ser>
          <c:idx val="2"/>
          <c:order val="2"/>
          <c:tx>
            <c:v>450 C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selectivity!$G$76:$G$88</c:f>
                <c:numCache>
                  <c:formatCode>General</c:formatCode>
                  <c:ptCount val="13"/>
                  <c:pt idx="0">
                    <c:v>4.4735769670510832</c:v>
                  </c:pt>
                  <c:pt idx="1">
                    <c:v>9.3198621223644054</c:v>
                  </c:pt>
                  <c:pt idx="2">
                    <c:v>3.0478355352325068</c:v>
                  </c:pt>
                  <c:pt idx="3">
                    <c:v>1.2564800204770064</c:v>
                  </c:pt>
                  <c:pt idx="4">
                    <c:v>0.83713029198262456</c:v>
                  </c:pt>
                  <c:pt idx="5">
                    <c:v>5.1936388410430405</c:v>
                  </c:pt>
                  <c:pt idx="6">
                    <c:v>4.6844402496106818</c:v>
                  </c:pt>
                  <c:pt idx="7">
                    <c:v>2.2001440292756129</c:v>
                  </c:pt>
                  <c:pt idx="8">
                    <c:v>1.5270276249394845</c:v>
                  </c:pt>
                  <c:pt idx="9">
                    <c:v>1.9002544872890668</c:v>
                  </c:pt>
                  <c:pt idx="10">
                    <c:v>1.4198520209200751</c:v>
                  </c:pt>
                  <c:pt idx="11">
                    <c:v>1.8584347511671275</c:v>
                  </c:pt>
                  <c:pt idx="12">
                    <c:v>0.4713115148280399</c:v>
                  </c:pt>
                </c:numCache>
              </c:numRef>
            </c:plus>
            <c:minus>
              <c:numRef>
                <c:f>selectivity!$G$76:$G$88</c:f>
                <c:numCache>
                  <c:formatCode>General</c:formatCode>
                  <c:ptCount val="13"/>
                  <c:pt idx="0">
                    <c:v>4.4735769670510832</c:v>
                  </c:pt>
                  <c:pt idx="1">
                    <c:v>9.3198621223644054</c:v>
                  </c:pt>
                  <c:pt idx="2">
                    <c:v>3.0478355352325068</c:v>
                  </c:pt>
                  <c:pt idx="3">
                    <c:v>1.2564800204770064</c:v>
                  </c:pt>
                  <c:pt idx="4">
                    <c:v>0.83713029198262456</c:v>
                  </c:pt>
                  <c:pt idx="5">
                    <c:v>5.1936388410430405</c:v>
                  </c:pt>
                  <c:pt idx="6">
                    <c:v>4.6844402496106818</c:v>
                  </c:pt>
                  <c:pt idx="7">
                    <c:v>2.2001440292756129</c:v>
                  </c:pt>
                  <c:pt idx="8">
                    <c:v>1.5270276249394845</c:v>
                  </c:pt>
                  <c:pt idx="9">
                    <c:v>1.9002544872890668</c:v>
                  </c:pt>
                  <c:pt idx="10">
                    <c:v>1.4198520209200751</c:v>
                  </c:pt>
                  <c:pt idx="11">
                    <c:v>1.8584347511671275</c:v>
                  </c:pt>
                  <c:pt idx="12">
                    <c:v>0.4713115148280399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selectivity!$B$61:$B$66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selectivity!$G$61:$G$66</c:f>
              <c:numCache>
                <c:formatCode>General</c:formatCode>
                <c:ptCount val="6"/>
                <c:pt idx="0">
                  <c:v>49.499037300939676</c:v>
                </c:pt>
                <c:pt idx="1">
                  <c:v>46.439703997438983</c:v>
                </c:pt>
                <c:pt idx="2">
                  <c:v>50.999298978883608</c:v>
                </c:pt>
                <c:pt idx="3">
                  <c:v>32.187549924646532</c:v>
                </c:pt>
                <c:pt idx="4">
                  <c:v>31.248918361947066</c:v>
                </c:pt>
                <c:pt idx="5">
                  <c:v>49.293895802366002</c:v>
                </c:pt>
              </c:numCache>
            </c:numRef>
          </c:yVal>
        </c:ser>
        <c:axId val="101337728"/>
        <c:axId val="101344000"/>
      </c:scatterChart>
      <c:valAx>
        <c:axId val="101337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</a:t>
                </a:r>
                <a:r>
                  <a:rPr lang="en-GB" b="0" baseline="0"/>
                  <a:t> (nm)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344000"/>
        <c:crosses val="autoZero"/>
        <c:crossBetween val="midCat"/>
      </c:valAx>
      <c:valAx>
        <c:axId val="101344000"/>
        <c:scaling>
          <c:orientation val="minMax"/>
          <c:max val="9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selectivity (%)</a:t>
                </a:r>
              </a:p>
            </c:rich>
          </c:tx>
          <c:layout>
            <c:manualLayout>
              <c:xMode val="edge"/>
              <c:yMode val="edge"/>
              <c:x val="2.6264583333333338E-2"/>
              <c:y val="0.2509161616161618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33772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746203703703704"/>
          <c:y val="0.67666515151515605"/>
          <c:w val="0.14726736111111274"/>
          <c:h val="0.18545757575757579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Selectivity</a:t>
            </a:r>
            <a:r>
              <a:rPr lang="en-GB" sz="1200" b="0" baseline="0"/>
              <a:t> vs particle size for bulk Fe3O4</a:t>
            </a:r>
            <a:endParaRPr lang="en-GB" sz="1200" b="0"/>
          </a:p>
        </c:rich>
      </c:tx>
      <c:layout>
        <c:manualLayout>
          <c:xMode val="edge"/>
          <c:yMode val="edge"/>
          <c:x val="0.2046293981481482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5070324074074196"/>
          <c:y val="6.4470202020202011E-2"/>
          <c:w val="0.80223032407407402"/>
          <c:h val="0.80708131313131315"/>
        </c:manualLayout>
      </c:layout>
      <c:scatterChart>
        <c:scatterStyle val="lineMarker"/>
        <c:ser>
          <c:idx val="0"/>
          <c:order val="0"/>
          <c:tx>
            <c:v>400 C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selectivity!$E$82:$E$88</c:f>
                <c:numCache>
                  <c:formatCode>General</c:formatCode>
                  <c:ptCount val="7"/>
                  <c:pt idx="0">
                    <c:v>2.0437810479798872</c:v>
                  </c:pt>
                  <c:pt idx="1">
                    <c:v>1.0141102141222607</c:v>
                  </c:pt>
                  <c:pt idx="2">
                    <c:v>1.5797428556077979</c:v>
                  </c:pt>
                  <c:pt idx="3">
                    <c:v>3.1903505856410699</c:v>
                  </c:pt>
                  <c:pt idx="4">
                    <c:v>2.6676967357244004</c:v>
                  </c:pt>
                  <c:pt idx="5">
                    <c:v>1.556529193967702</c:v>
                  </c:pt>
                  <c:pt idx="6">
                    <c:v>0.47976149042755822</c:v>
                  </c:pt>
                </c:numCache>
              </c:numRef>
            </c:plus>
            <c:minus>
              <c:numRef>
                <c:f>selectivity!$E$82:$E$88</c:f>
                <c:numCache>
                  <c:formatCode>General</c:formatCode>
                  <c:ptCount val="7"/>
                  <c:pt idx="0">
                    <c:v>2.0437810479798872</c:v>
                  </c:pt>
                  <c:pt idx="1">
                    <c:v>1.0141102141222607</c:v>
                  </c:pt>
                  <c:pt idx="2">
                    <c:v>1.5797428556077979</c:v>
                  </c:pt>
                  <c:pt idx="3">
                    <c:v>3.1903505856410699</c:v>
                  </c:pt>
                  <c:pt idx="4">
                    <c:v>2.6676967357244004</c:v>
                  </c:pt>
                  <c:pt idx="5">
                    <c:v>1.556529193967702</c:v>
                  </c:pt>
                  <c:pt idx="6">
                    <c:v>0.47976149042755822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selectivity!$B$67:$B$73</c:f>
              <c:numCache>
                <c:formatCode>General</c:formatCode>
                <c:ptCount val="7"/>
                <c:pt idx="0">
                  <c:v>24.9</c:v>
                </c:pt>
                <c:pt idx="1">
                  <c:v>29.5</c:v>
                </c:pt>
                <c:pt idx="2">
                  <c:v>52.5</c:v>
                </c:pt>
                <c:pt idx="3">
                  <c:v>90.2</c:v>
                </c:pt>
                <c:pt idx="4">
                  <c:v>49.6</c:v>
                </c:pt>
                <c:pt idx="5">
                  <c:v>57</c:v>
                </c:pt>
                <c:pt idx="6">
                  <c:v>67</c:v>
                </c:pt>
              </c:numCache>
            </c:numRef>
          </c:xVal>
          <c:yVal>
            <c:numRef>
              <c:f>selectivity!$E$67:$E$73</c:f>
              <c:numCache>
                <c:formatCode>General</c:formatCode>
                <c:ptCount val="7"/>
                <c:pt idx="0">
                  <c:v>59.702149140678578</c:v>
                </c:pt>
                <c:pt idx="1">
                  <c:v>44.026721559402098</c:v>
                </c:pt>
                <c:pt idx="2">
                  <c:v>30.18505893354828</c:v>
                </c:pt>
                <c:pt idx="3">
                  <c:v>33.986128043871382</c:v>
                </c:pt>
                <c:pt idx="4">
                  <c:v>33.660327687514815</c:v>
                </c:pt>
                <c:pt idx="5">
                  <c:v>33.278077509523357</c:v>
                </c:pt>
                <c:pt idx="6">
                  <c:v>49.628833785171601</c:v>
                </c:pt>
              </c:numCache>
            </c:numRef>
          </c:yVal>
        </c:ser>
        <c:ser>
          <c:idx val="1"/>
          <c:order val="1"/>
          <c:tx>
            <c:v>425 C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selectivity!$F$82:$F$88</c:f>
                <c:numCache>
                  <c:formatCode>General</c:formatCode>
                  <c:ptCount val="7"/>
                  <c:pt idx="0">
                    <c:v>1.8307535299135114</c:v>
                  </c:pt>
                  <c:pt idx="1">
                    <c:v>0.94402645270695007</c:v>
                  </c:pt>
                  <c:pt idx="2">
                    <c:v>1.7624920565679438</c:v>
                  </c:pt>
                  <c:pt idx="3">
                    <c:v>1.2991729703394042</c:v>
                  </c:pt>
                  <c:pt idx="4">
                    <c:v>0.94551740550162866</c:v>
                  </c:pt>
                  <c:pt idx="5">
                    <c:v>0.92114137204806479</c:v>
                  </c:pt>
                  <c:pt idx="6">
                    <c:v>2.4089141201354085</c:v>
                  </c:pt>
                </c:numCache>
              </c:numRef>
            </c:plus>
            <c:minus>
              <c:numRef>
                <c:f>selectivity!$F$82:$F$88</c:f>
                <c:numCache>
                  <c:formatCode>General</c:formatCode>
                  <c:ptCount val="7"/>
                  <c:pt idx="0">
                    <c:v>1.8307535299135114</c:v>
                  </c:pt>
                  <c:pt idx="1">
                    <c:v>0.94402645270695007</c:v>
                  </c:pt>
                  <c:pt idx="2">
                    <c:v>1.7624920565679438</c:v>
                  </c:pt>
                  <c:pt idx="3">
                    <c:v>1.2991729703394042</c:v>
                  </c:pt>
                  <c:pt idx="4">
                    <c:v>0.94551740550162866</c:v>
                  </c:pt>
                  <c:pt idx="5">
                    <c:v>0.92114137204806479</c:v>
                  </c:pt>
                  <c:pt idx="6">
                    <c:v>2.4089141201354085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selectivity!$B$67:$B$73</c:f>
              <c:numCache>
                <c:formatCode>General</c:formatCode>
                <c:ptCount val="7"/>
                <c:pt idx="0">
                  <c:v>24.9</c:v>
                </c:pt>
                <c:pt idx="1">
                  <c:v>29.5</c:v>
                </c:pt>
                <c:pt idx="2">
                  <c:v>52.5</c:v>
                </c:pt>
                <c:pt idx="3">
                  <c:v>90.2</c:v>
                </c:pt>
                <c:pt idx="4">
                  <c:v>49.6</c:v>
                </c:pt>
                <c:pt idx="5">
                  <c:v>57</c:v>
                </c:pt>
                <c:pt idx="6">
                  <c:v>67</c:v>
                </c:pt>
              </c:numCache>
            </c:numRef>
          </c:xVal>
          <c:yVal>
            <c:numRef>
              <c:f>selectivity!$F$67:$F$73</c:f>
              <c:numCache>
                <c:formatCode>General</c:formatCode>
                <c:ptCount val="7"/>
                <c:pt idx="0">
                  <c:v>67.14830989045646</c:v>
                </c:pt>
                <c:pt idx="1">
                  <c:v>60.052182330124936</c:v>
                </c:pt>
                <c:pt idx="2">
                  <c:v>53.951371775862299</c:v>
                </c:pt>
                <c:pt idx="3">
                  <c:v>31.494738273995317</c:v>
                </c:pt>
                <c:pt idx="4">
                  <c:v>59.818529850111013</c:v>
                </c:pt>
                <c:pt idx="5">
                  <c:v>63.33488763434908</c:v>
                </c:pt>
                <c:pt idx="6">
                  <c:v>41.233820120066589</c:v>
                </c:pt>
              </c:numCache>
            </c:numRef>
          </c:yVal>
        </c:ser>
        <c:ser>
          <c:idx val="2"/>
          <c:order val="2"/>
          <c:tx>
            <c:v>450 C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selectivity!$G$76:$G$88</c:f>
                <c:numCache>
                  <c:formatCode>General</c:formatCode>
                  <c:ptCount val="13"/>
                  <c:pt idx="0">
                    <c:v>4.4735769670510832</c:v>
                  </c:pt>
                  <c:pt idx="1">
                    <c:v>9.3198621223644054</c:v>
                  </c:pt>
                  <c:pt idx="2">
                    <c:v>3.0478355352325068</c:v>
                  </c:pt>
                  <c:pt idx="3">
                    <c:v>1.2564800204770064</c:v>
                  </c:pt>
                  <c:pt idx="4">
                    <c:v>0.83713029198262456</c:v>
                  </c:pt>
                  <c:pt idx="5">
                    <c:v>5.1936388410430405</c:v>
                  </c:pt>
                  <c:pt idx="6">
                    <c:v>4.6844402496106818</c:v>
                  </c:pt>
                  <c:pt idx="7">
                    <c:v>2.2001440292756129</c:v>
                  </c:pt>
                  <c:pt idx="8">
                    <c:v>1.5270276249394845</c:v>
                  </c:pt>
                  <c:pt idx="9">
                    <c:v>1.9002544872890668</c:v>
                  </c:pt>
                  <c:pt idx="10">
                    <c:v>1.4198520209200751</c:v>
                  </c:pt>
                  <c:pt idx="11">
                    <c:v>1.8584347511671275</c:v>
                  </c:pt>
                  <c:pt idx="12">
                    <c:v>0.4713115148280399</c:v>
                  </c:pt>
                </c:numCache>
              </c:numRef>
            </c:plus>
            <c:minus>
              <c:numRef>
                <c:f>selectivity!$G$76:$G$88</c:f>
                <c:numCache>
                  <c:formatCode>General</c:formatCode>
                  <c:ptCount val="13"/>
                  <c:pt idx="0">
                    <c:v>4.4735769670510832</c:v>
                  </c:pt>
                  <c:pt idx="1">
                    <c:v>9.3198621223644054</c:v>
                  </c:pt>
                  <c:pt idx="2">
                    <c:v>3.0478355352325068</c:v>
                  </c:pt>
                  <c:pt idx="3">
                    <c:v>1.2564800204770064</c:v>
                  </c:pt>
                  <c:pt idx="4">
                    <c:v>0.83713029198262456</c:v>
                  </c:pt>
                  <c:pt idx="5">
                    <c:v>5.1936388410430405</c:v>
                  </c:pt>
                  <c:pt idx="6">
                    <c:v>4.6844402496106818</c:v>
                  </c:pt>
                  <c:pt idx="7">
                    <c:v>2.2001440292756129</c:v>
                  </c:pt>
                  <c:pt idx="8">
                    <c:v>1.5270276249394845</c:v>
                  </c:pt>
                  <c:pt idx="9">
                    <c:v>1.9002544872890668</c:v>
                  </c:pt>
                  <c:pt idx="10">
                    <c:v>1.4198520209200751</c:v>
                  </c:pt>
                  <c:pt idx="11">
                    <c:v>1.8584347511671275</c:v>
                  </c:pt>
                  <c:pt idx="12">
                    <c:v>0.4713115148280399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selectivity!$B$67:$B$73</c:f>
              <c:numCache>
                <c:formatCode>General</c:formatCode>
                <c:ptCount val="7"/>
                <c:pt idx="0">
                  <c:v>24.9</c:v>
                </c:pt>
                <c:pt idx="1">
                  <c:v>29.5</c:v>
                </c:pt>
                <c:pt idx="2">
                  <c:v>52.5</c:v>
                </c:pt>
                <c:pt idx="3">
                  <c:v>90.2</c:v>
                </c:pt>
                <c:pt idx="4">
                  <c:v>49.6</c:v>
                </c:pt>
                <c:pt idx="5">
                  <c:v>57</c:v>
                </c:pt>
                <c:pt idx="6">
                  <c:v>67</c:v>
                </c:pt>
              </c:numCache>
            </c:numRef>
          </c:xVal>
          <c:yVal>
            <c:numRef>
              <c:f>selectivity!$G$67:$G$73</c:f>
              <c:numCache>
                <c:formatCode>General</c:formatCode>
                <c:ptCount val="7"/>
                <c:pt idx="0">
                  <c:v>69.845656403901685</c:v>
                </c:pt>
                <c:pt idx="1">
                  <c:v>72.305415808894963</c:v>
                </c:pt>
                <c:pt idx="2">
                  <c:v>65.741937411968706</c:v>
                </c:pt>
                <c:pt idx="3">
                  <c:v>51.932808614229231</c:v>
                </c:pt>
                <c:pt idx="4">
                  <c:v>72.83173933876003</c:v>
                </c:pt>
                <c:pt idx="5">
                  <c:v>71.103362763388589</c:v>
                </c:pt>
                <c:pt idx="6">
                  <c:v>35.6503506386928</c:v>
                </c:pt>
              </c:numCache>
            </c:numRef>
          </c:yVal>
        </c:ser>
        <c:axId val="101253888"/>
        <c:axId val="101255808"/>
      </c:scatterChart>
      <c:valAx>
        <c:axId val="10125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</a:t>
                </a:r>
                <a:r>
                  <a:rPr lang="en-GB" b="0" baseline="0"/>
                  <a:t> (nm)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255808"/>
        <c:crosses val="autoZero"/>
        <c:crossBetween val="midCat"/>
      </c:valAx>
      <c:valAx>
        <c:axId val="101255808"/>
        <c:scaling>
          <c:orientation val="minMax"/>
          <c:max val="9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selectivity (%)</a:t>
                </a:r>
              </a:p>
            </c:rich>
          </c:tx>
          <c:layout>
            <c:manualLayout>
              <c:xMode val="edge"/>
              <c:yMode val="edge"/>
              <c:x val="1.8465277777777785E-2"/>
              <c:y val="0.2509161616161618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25388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3640277777777779"/>
          <c:y val="0.67345808080808478"/>
          <c:w val="0.18842476851851853"/>
          <c:h val="0.18545757575757579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Selectivity vs</a:t>
            </a:r>
            <a:r>
              <a:rPr lang="en-GB" sz="1200" b="0" baseline="0"/>
              <a:t> size at ~30 % conversion</a:t>
            </a:r>
            <a:endParaRPr lang="en-GB" sz="1200" b="0"/>
          </a:p>
        </c:rich>
      </c:tx>
      <c:layout>
        <c:manualLayout>
          <c:xMode val="edge"/>
          <c:yMode val="edge"/>
          <c:x val="0.22846041666666694"/>
          <c:y val="9.621212121212099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280999999999998"/>
          <c:y val="7.4091388888888915E-2"/>
          <c:w val="0.78954351851852256"/>
          <c:h val="0.79746010101010056"/>
        </c:manualLayout>
      </c:layout>
      <c:scatterChart>
        <c:scatterStyle val="lineMarker"/>
        <c:ser>
          <c:idx val="1"/>
          <c:order val="1"/>
          <c:tx>
            <c:v>bulk Fe3O4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selectivity!$G$100:$G$106</c:f>
                <c:numCache>
                  <c:formatCode>General</c:formatCode>
                  <c:ptCount val="7"/>
                  <c:pt idx="0">
                    <c:v>0.47684517547114103</c:v>
                  </c:pt>
                  <c:pt idx="1">
                    <c:v>0.80860106077923699</c:v>
                  </c:pt>
                  <c:pt idx="2">
                    <c:v>1.5575516757564927</c:v>
                  </c:pt>
                  <c:pt idx="3">
                    <c:v>3.5846638915174309</c:v>
                  </c:pt>
                  <c:pt idx="4">
                    <c:v>2.5914210117130811</c:v>
                  </c:pt>
                  <c:pt idx="5">
                    <c:v>1.3247036876726688</c:v>
                  </c:pt>
                  <c:pt idx="6">
                    <c:v>2.4089141201354085</c:v>
                  </c:pt>
                </c:numCache>
              </c:numRef>
            </c:plus>
            <c:minus>
              <c:numRef>
                <c:f>selectivity!$G$100:$G$106</c:f>
                <c:numCache>
                  <c:formatCode>General</c:formatCode>
                  <c:ptCount val="7"/>
                  <c:pt idx="0">
                    <c:v>0.47684517547114103</c:v>
                  </c:pt>
                  <c:pt idx="1">
                    <c:v>0.80860106077923699</c:v>
                  </c:pt>
                  <c:pt idx="2">
                    <c:v>1.5575516757564927</c:v>
                  </c:pt>
                  <c:pt idx="3">
                    <c:v>3.5846638915174309</c:v>
                  </c:pt>
                  <c:pt idx="4">
                    <c:v>2.5914210117130811</c:v>
                  </c:pt>
                  <c:pt idx="5">
                    <c:v>1.3247036876726688</c:v>
                  </c:pt>
                  <c:pt idx="6">
                    <c:v>2.4089141201354085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selectivity!$E$100:$E$106</c:f>
              <c:numCache>
                <c:formatCode>General</c:formatCode>
                <c:ptCount val="7"/>
                <c:pt idx="0">
                  <c:v>24.9</c:v>
                </c:pt>
                <c:pt idx="1">
                  <c:v>29.5</c:v>
                </c:pt>
                <c:pt idx="2">
                  <c:v>52.5</c:v>
                </c:pt>
                <c:pt idx="3">
                  <c:v>90.2</c:v>
                </c:pt>
                <c:pt idx="4">
                  <c:v>49.6</c:v>
                </c:pt>
                <c:pt idx="5">
                  <c:v>57</c:v>
                </c:pt>
                <c:pt idx="6">
                  <c:v>67</c:v>
                </c:pt>
              </c:numCache>
            </c:numRef>
          </c:xVal>
          <c:yVal>
            <c:numRef>
              <c:f>selectivity!$F$100:$F$106</c:f>
              <c:numCache>
                <c:formatCode>General</c:formatCode>
                <c:ptCount val="7"/>
                <c:pt idx="0">
                  <c:v>43.858812421635804</c:v>
                </c:pt>
                <c:pt idx="1">
                  <c:v>29.896556332885226</c:v>
                </c:pt>
                <c:pt idx="2">
                  <c:v>33.945966958211862</c:v>
                </c:pt>
                <c:pt idx="3">
                  <c:v>38.01941557029496</c:v>
                </c:pt>
                <c:pt idx="4">
                  <c:v>30.025031242088858</c:v>
                </c:pt>
                <c:pt idx="5">
                  <c:v>41.693792116532642</c:v>
                </c:pt>
                <c:pt idx="6">
                  <c:v>41.233820120066589</c:v>
                </c:pt>
              </c:numCache>
            </c:numRef>
          </c:yVal>
        </c:ser>
        <c:ser>
          <c:idx val="0"/>
          <c:order val="0"/>
          <c:tx>
            <c:v>Fe3O4/SiO2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selectivity!$G$94:$G$99</c:f>
                <c:numCache>
                  <c:formatCode>General</c:formatCode>
                  <c:ptCount val="6"/>
                  <c:pt idx="0">
                    <c:v>0.376425960282123</c:v>
                  </c:pt>
                  <c:pt idx="1">
                    <c:v>0.96064133589979317</c:v>
                  </c:pt>
                  <c:pt idx="2">
                    <c:v>1.5787424472752472</c:v>
                  </c:pt>
                  <c:pt idx="3">
                    <c:v>0.4471331988280382</c:v>
                  </c:pt>
                  <c:pt idx="4">
                    <c:v>0.27426961269811667</c:v>
                  </c:pt>
                  <c:pt idx="5">
                    <c:v>5.1936388410430405</c:v>
                  </c:pt>
                </c:numCache>
              </c:numRef>
            </c:plus>
            <c:minus>
              <c:numRef>
                <c:f>selectivity!$G$94:$G$99</c:f>
                <c:numCache>
                  <c:formatCode>General</c:formatCode>
                  <c:ptCount val="6"/>
                  <c:pt idx="0">
                    <c:v>0.376425960282123</c:v>
                  </c:pt>
                  <c:pt idx="1">
                    <c:v>0.96064133589979317</c:v>
                  </c:pt>
                  <c:pt idx="2">
                    <c:v>1.5787424472752472</c:v>
                  </c:pt>
                  <c:pt idx="3">
                    <c:v>0.4471331988280382</c:v>
                  </c:pt>
                  <c:pt idx="4">
                    <c:v>0.27426961269811667</c:v>
                  </c:pt>
                  <c:pt idx="5">
                    <c:v>5.1936388410430405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selectivity!$E$94:$E$99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selectivity!$F$94:$F$99</c:f>
              <c:numCache>
                <c:formatCode>General</c:formatCode>
                <c:ptCount val="6"/>
                <c:pt idx="0">
                  <c:v>32.974003662519586</c:v>
                </c:pt>
                <c:pt idx="1">
                  <c:v>53.367741602783383</c:v>
                </c:pt>
                <c:pt idx="2">
                  <c:v>32.620899116336332</c:v>
                </c:pt>
                <c:pt idx="3">
                  <c:v>35.779394063389766</c:v>
                </c:pt>
                <c:pt idx="4">
                  <c:v>20.291616954474101</c:v>
                </c:pt>
                <c:pt idx="5">
                  <c:v>49.293895802366002</c:v>
                </c:pt>
              </c:numCache>
            </c:numRef>
          </c:yVal>
        </c:ser>
        <c:axId val="101308288"/>
        <c:axId val="101384192"/>
      </c:scatterChart>
      <c:valAx>
        <c:axId val="10130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</a:t>
                </a:r>
                <a:r>
                  <a:rPr lang="en-GB" b="0" baseline="0"/>
                  <a:t> (nm)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384192"/>
        <c:crosses val="autoZero"/>
        <c:crossBetween val="midCat"/>
      </c:valAx>
      <c:valAx>
        <c:axId val="101384192"/>
        <c:scaling>
          <c:orientation val="minMax"/>
          <c:max val="8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selectivity (%)</a:t>
                </a:r>
              </a:p>
            </c:rich>
          </c:tx>
          <c:layout>
            <c:manualLayout>
              <c:xMode val="edge"/>
              <c:yMode val="edge"/>
              <c:x val="1.6453009259259375E-2"/>
              <c:y val="0.2739588383838403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30828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6111638888888871"/>
          <c:y val="9.5643181818181489E-2"/>
          <c:w val="0.37126777777777792"/>
          <c:h val="0.19423888888888891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Selectivity</a:t>
            </a:r>
            <a:r>
              <a:rPr lang="en-GB" sz="1200" b="0" baseline="0"/>
              <a:t> vs Fe</a:t>
            </a:r>
            <a:r>
              <a:rPr lang="en-GB" sz="1200" b="0" baseline="-25000"/>
              <a:t>3</a:t>
            </a:r>
            <a:r>
              <a:rPr lang="en-GB" sz="1200" b="0" baseline="0"/>
              <a:t>O</a:t>
            </a:r>
            <a:r>
              <a:rPr lang="en-GB" sz="1200" b="0" baseline="-25000"/>
              <a:t>4</a:t>
            </a:r>
            <a:r>
              <a:rPr lang="en-GB" sz="1200" b="0" baseline="0"/>
              <a:t> particle size at 400 </a:t>
            </a:r>
            <a:r>
              <a:rPr lang="en-GB" sz="1200" b="0" baseline="30000"/>
              <a:t>o</a:t>
            </a:r>
            <a:r>
              <a:rPr lang="en-GB" sz="1200" b="0" baseline="0"/>
              <a:t>C</a:t>
            </a:r>
            <a:endParaRPr lang="en-GB" sz="1200" b="0"/>
          </a:p>
        </c:rich>
      </c:tx>
      <c:layout>
        <c:manualLayout>
          <c:xMode val="edge"/>
          <c:yMode val="edge"/>
          <c:x val="0.193461666666666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9067888888888887"/>
          <c:y val="6.4470202020202011E-2"/>
          <c:w val="0.75284138888889063"/>
          <c:h val="0.80708131313131315"/>
        </c:manualLayout>
      </c:layout>
      <c:scatterChart>
        <c:scatterStyle val="lineMarker"/>
        <c:ser>
          <c:idx val="1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selectivity!$E$75:$E$81</c:f>
                <c:numCache>
                  <c:formatCode>General</c:formatCode>
                  <c:ptCount val="7"/>
                  <c:pt idx="0">
                    <c:v>0.56012754940447729</c:v>
                  </c:pt>
                  <c:pt idx="1">
                    <c:v>0.376425960282123</c:v>
                  </c:pt>
                  <c:pt idx="2">
                    <c:v>0.96064133589979317</c:v>
                  </c:pt>
                  <c:pt idx="3">
                    <c:v>1.5787424472752472</c:v>
                  </c:pt>
                  <c:pt idx="4">
                    <c:v>3.985961524708808</c:v>
                  </c:pt>
                  <c:pt idx="5">
                    <c:v>0.47579443200232846</c:v>
                  </c:pt>
                  <c:pt idx="6">
                    <c:v>15.334182140580291</c:v>
                  </c:pt>
                </c:numCache>
              </c:numRef>
            </c:plus>
            <c:minus>
              <c:numRef>
                <c:f>selectivity!$E$75:$E$81</c:f>
                <c:numCache>
                  <c:formatCode>General</c:formatCode>
                  <c:ptCount val="7"/>
                  <c:pt idx="0">
                    <c:v>0.56012754940447729</c:v>
                  </c:pt>
                  <c:pt idx="1">
                    <c:v>0.376425960282123</c:v>
                  </c:pt>
                  <c:pt idx="2">
                    <c:v>0.96064133589979317</c:v>
                  </c:pt>
                  <c:pt idx="3">
                    <c:v>1.5787424472752472</c:v>
                  </c:pt>
                  <c:pt idx="4">
                    <c:v>3.985961524708808</c:v>
                  </c:pt>
                  <c:pt idx="5">
                    <c:v>0.47579443200232846</c:v>
                  </c:pt>
                  <c:pt idx="6">
                    <c:v>15.334182140580291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selectivity!$B$60:$B$66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selectivity!$E$60:$E$66</c:f>
              <c:numCache>
                <c:formatCode>General</c:formatCode>
                <c:ptCount val="7"/>
                <c:pt idx="0">
                  <c:v>33.857354283451407</c:v>
                </c:pt>
                <c:pt idx="1">
                  <c:v>32.974003662519586</c:v>
                </c:pt>
                <c:pt idx="2">
                  <c:v>53.367741602783383</c:v>
                </c:pt>
                <c:pt idx="3">
                  <c:v>32.620899116336332</c:v>
                </c:pt>
                <c:pt idx="4">
                  <c:v>30.797789115646271</c:v>
                </c:pt>
                <c:pt idx="5">
                  <c:v>26.396734693877566</c:v>
                </c:pt>
                <c:pt idx="6">
                  <c:v>56.255392156862683</c:v>
                </c:pt>
              </c:numCache>
            </c:numRef>
          </c:yVal>
        </c:ser>
        <c:ser>
          <c:idx val="0"/>
          <c:order val="0"/>
          <c:tx>
            <c:v>400 C</c:v>
          </c:tx>
          <c:spPr>
            <a:ln w="28575">
              <a:noFill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fixedVal"/>
            <c:val val="1"/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selectivity!$B$67:$B$73</c:f>
              <c:numCache>
                <c:formatCode>General</c:formatCode>
                <c:ptCount val="7"/>
                <c:pt idx="0">
                  <c:v>24.9</c:v>
                </c:pt>
                <c:pt idx="1">
                  <c:v>29.5</c:v>
                </c:pt>
                <c:pt idx="2">
                  <c:v>52.5</c:v>
                </c:pt>
                <c:pt idx="3">
                  <c:v>90.2</c:v>
                </c:pt>
                <c:pt idx="4">
                  <c:v>49.6</c:v>
                </c:pt>
                <c:pt idx="5">
                  <c:v>57</c:v>
                </c:pt>
                <c:pt idx="6">
                  <c:v>67</c:v>
                </c:pt>
              </c:numCache>
            </c:numRef>
          </c:xVal>
          <c:yVal>
            <c:numRef>
              <c:f>selectivity!$E$67:$E$73</c:f>
              <c:numCache>
                <c:formatCode>General</c:formatCode>
                <c:ptCount val="7"/>
                <c:pt idx="0">
                  <c:v>59.702149140678578</c:v>
                </c:pt>
                <c:pt idx="1">
                  <c:v>44.026721559402098</c:v>
                </c:pt>
                <c:pt idx="2">
                  <c:v>30.18505893354828</c:v>
                </c:pt>
                <c:pt idx="3">
                  <c:v>33.986128043871382</c:v>
                </c:pt>
                <c:pt idx="4">
                  <c:v>33.660327687514815</c:v>
                </c:pt>
                <c:pt idx="5">
                  <c:v>33.278077509523357</c:v>
                </c:pt>
                <c:pt idx="6">
                  <c:v>49.628833785171601</c:v>
                </c:pt>
              </c:numCache>
            </c:numRef>
          </c:yVal>
        </c:ser>
        <c:axId val="101415168"/>
        <c:axId val="101421440"/>
      </c:scatterChart>
      <c:valAx>
        <c:axId val="101415168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</a:t>
                </a:r>
                <a:r>
                  <a:rPr lang="en-GB" b="0" baseline="0"/>
                  <a:t> (nm)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421440"/>
        <c:crosses val="autoZero"/>
        <c:crossBetween val="midCat"/>
        <c:majorUnit val="10"/>
      </c:valAx>
      <c:valAx>
        <c:axId val="101421440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selectivity (%)</a:t>
                </a:r>
              </a:p>
            </c:rich>
          </c:tx>
          <c:layout>
            <c:manualLayout>
              <c:xMode val="edge"/>
              <c:yMode val="edge"/>
              <c:x val="1.8465277777777785E-2"/>
              <c:y val="0.2509161616161618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41516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Selectivity vs</a:t>
            </a:r>
            <a:r>
              <a:rPr lang="en-GB" sz="1200" b="0" baseline="0"/>
              <a:t> size at ~30 % conversion</a:t>
            </a:r>
            <a:endParaRPr lang="en-GB" sz="1200" b="0"/>
          </a:p>
        </c:rich>
      </c:tx>
      <c:layout>
        <c:manualLayout>
          <c:xMode val="edge"/>
          <c:yMode val="edge"/>
          <c:x val="0.18612722222222244"/>
          <c:y val="9.6211111111110959E-3"/>
        </c:manualLayout>
      </c:layout>
      <c:overlay val="1"/>
    </c:title>
    <c:plotArea>
      <c:layout>
        <c:manualLayout>
          <c:layoutTarget val="inner"/>
          <c:xMode val="edge"/>
          <c:yMode val="edge"/>
          <c:x val="0.18925444444444503"/>
          <c:y val="7.4091414141414902E-2"/>
          <c:w val="0.7542658333333353"/>
          <c:h val="0.797460101010100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selectivity!$G$93:$G$99</c:f>
                <c:numCache>
                  <c:formatCode>General</c:formatCode>
                  <c:ptCount val="7"/>
                  <c:pt idx="0">
                    <c:v>0.56012754940447729</c:v>
                  </c:pt>
                  <c:pt idx="1">
                    <c:v>0.376425960282123</c:v>
                  </c:pt>
                  <c:pt idx="2">
                    <c:v>0.96064133589979317</c:v>
                  </c:pt>
                  <c:pt idx="3">
                    <c:v>1.5787424472752472</c:v>
                  </c:pt>
                  <c:pt idx="4">
                    <c:v>0.4471331988280382</c:v>
                  </c:pt>
                  <c:pt idx="5">
                    <c:v>0.27426961269811667</c:v>
                  </c:pt>
                  <c:pt idx="6">
                    <c:v>5.1936388410430405</c:v>
                  </c:pt>
                </c:numCache>
              </c:numRef>
            </c:plus>
            <c:minus>
              <c:numRef>
                <c:f>selectivity!$G$93:$G$99</c:f>
                <c:numCache>
                  <c:formatCode>General</c:formatCode>
                  <c:ptCount val="7"/>
                  <c:pt idx="0">
                    <c:v>0.56012754940447729</c:v>
                  </c:pt>
                  <c:pt idx="1">
                    <c:v>0.376425960282123</c:v>
                  </c:pt>
                  <c:pt idx="2">
                    <c:v>0.96064133589979317</c:v>
                  </c:pt>
                  <c:pt idx="3">
                    <c:v>1.5787424472752472</c:v>
                  </c:pt>
                  <c:pt idx="4">
                    <c:v>0.4471331988280382</c:v>
                  </c:pt>
                  <c:pt idx="5">
                    <c:v>0.27426961269811667</c:v>
                  </c:pt>
                  <c:pt idx="6">
                    <c:v>5.1936388410430405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selectivity!$E$93:$E$99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selectivity!$F$93:$F$99</c:f>
              <c:numCache>
                <c:formatCode>General</c:formatCode>
                <c:ptCount val="7"/>
                <c:pt idx="0">
                  <c:v>33.857354283451407</c:v>
                </c:pt>
                <c:pt idx="1">
                  <c:v>32.974003662519586</c:v>
                </c:pt>
                <c:pt idx="2">
                  <c:v>53.367741602783383</c:v>
                </c:pt>
                <c:pt idx="3">
                  <c:v>32.620899116336332</c:v>
                </c:pt>
                <c:pt idx="4">
                  <c:v>35.779394063389766</c:v>
                </c:pt>
                <c:pt idx="5">
                  <c:v>20.291616954474101</c:v>
                </c:pt>
                <c:pt idx="6">
                  <c:v>49.293895802366002</c:v>
                </c:pt>
              </c:numCache>
            </c:numRef>
          </c:yVal>
        </c:ser>
        <c:axId val="101517568"/>
        <c:axId val="101544320"/>
      </c:scatterChart>
      <c:valAx>
        <c:axId val="101517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</a:t>
                </a:r>
                <a:r>
                  <a:rPr lang="en-GB" b="0" baseline="0"/>
                  <a:t> (nm)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544320"/>
        <c:crosses val="autoZero"/>
        <c:crossBetween val="midCat"/>
      </c:valAx>
      <c:valAx>
        <c:axId val="101544320"/>
        <c:scaling>
          <c:orientation val="minMax"/>
          <c:max val="8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selectivity (%)</a:t>
                </a:r>
              </a:p>
            </c:rich>
          </c:tx>
          <c:layout>
            <c:manualLayout>
              <c:xMode val="edge"/>
              <c:yMode val="edge"/>
              <c:x val="1.6453009259259389E-2"/>
              <c:y val="0.2739588383838407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51756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7091027777777806"/>
          <c:y val="7.3063611111111343E-2"/>
          <c:w val="0.77261000000000113"/>
          <c:h val="0.78971083333333481"/>
        </c:manualLayout>
      </c:layout>
      <c:scatterChart>
        <c:scatterStyle val="lineMarker"/>
        <c:ser>
          <c:idx val="2"/>
          <c:order val="0"/>
          <c:tx>
            <c:v>52.5 nm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selectivity!$L$38:$L$48</c:f>
                <c:numCache>
                  <c:formatCode>General</c:formatCode>
                  <c:ptCount val="11"/>
                  <c:pt idx="0">
                    <c:v>2.0799923123348645</c:v>
                  </c:pt>
                  <c:pt idx="2">
                    <c:v>3.2854398643077185</c:v>
                  </c:pt>
                  <c:pt idx="4">
                    <c:v>1.5575516757564927</c:v>
                  </c:pt>
                  <c:pt idx="5">
                    <c:v>0.45220908420477679</c:v>
                  </c:pt>
                  <c:pt idx="6">
                    <c:v>1.5797428556077979</c:v>
                  </c:pt>
                  <c:pt idx="7">
                    <c:v>1.70199102456808</c:v>
                  </c:pt>
                  <c:pt idx="8">
                    <c:v>1.7624920565679438</c:v>
                  </c:pt>
                  <c:pt idx="10">
                    <c:v>1.5270276249394845</c:v>
                  </c:pt>
                </c:numCache>
              </c:numRef>
            </c:plus>
            <c:minus>
              <c:numRef>
                <c:f>selectivity!$L$38:$L$48</c:f>
                <c:numCache>
                  <c:formatCode>General</c:formatCode>
                  <c:ptCount val="11"/>
                  <c:pt idx="0">
                    <c:v>2.0799923123348645</c:v>
                  </c:pt>
                  <c:pt idx="2">
                    <c:v>3.2854398643077185</c:v>
                  </c:pt>
                  <c:pt idx="4">
                    <c:v>1.5575516757564927</c:v>
                  </c:pt>
                  <c:pt idx="5">
                    <c:v>0.45220908420477679</c:v>
                  </c:pt>
                  <c:pt idx="6">
                    <c:v>1.5797428556077979</c:v>
                  </c:pt>
                  <c:pt idx="7">
                    <c:v>1.70199102456808</c:v>
                  </c:pt>
                  <c:pt idx="8">
                    <c:v>1.7624920565679438</c:v>
                  </c:pt>
                  <c:pt idx="10">
                    <c:v>1.5270276249394845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selectivity!$L$6:$L$16</c:f>
              <c:numCache>
                <c:formatCode>General</c:formatCode>
                <c:ptCount val="11"/>
                <c:pt idx="0">
                  <c:v>3.0732860520094554</c:v>
                </c:pt>
                <c:pt idx="2">
                  <c:v>8.2742316784869985</c:v>
                </c:pt>
                <c:pt idx="4">
                  <c:v>27.375886524822693</c:v>
                </c:pt>
                <c:pt idx="5">
                  <c:v>40.567375886524822</c:v>
                </c:pt>
                <c:pt idx="6">
                  <c:v>46.43026004728133</c:v>
                </c:pt>
                <c:pt idx="7">
                  <c:v>54.373522458628848</c:v>
                </c:pt>
                <c:pt idx="8">
                  <c:v>77.37588652482269</c:v>
                </c:pt>
                <c:pt idx="10">
                  <c:v>94.555555555555557</c:v>
                </c:pt>
              </c:numCache>
            </c:numRef>
          </c:xVal>
          <c:yVal>
            <c:numRef>
              <c:f>selectivity!$L$24:$L$34</c:f>
              <c:numCache>
                <c:formatCode>General</c:formatCode>
                <c:ptCount val="11"/>
                <c:pt idx="0">
                  <c:v>6.5589893100097241</c:v>
                </c:pt>
                <c:pt idx="2">
                  <c:v>32.448867459071536</c:v>
                </c:pt>
                <c:pt idx="4">
                  <c:v>33.945966958211862</c:v>
                </c:pt>
                <c:pt idx="5">
                  <c:v>34.204717425265358</c:v>
                </c:pt>
                <c:pt idx="6">
                  <c:v>30.18505893354828</c:v>
                </c:pt>
                <c:pt idx="7">
                  <c:v>35.860930923850724</c:v>
                </c:pt>
                <c:pt idx="8">
                  <c:v>53.951371775862299</c:v>
                </c:pt>
                <c:pt idx="10">
                  <c:v>65.741937411968706</c:v>
                </c:pt>
              </c:numCache>
            </c:numRef>
          </c:yVal>
        </c:ser>
        <c:axId val="101568896"/>
        <c:axId val="101570816"/>
      </c:scatterChart>
      <c:valAx>
        <c:axId val="101568896"/>
        <c:scaling>
          <c:orientation val="minMax"/>
          <c:max val="10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Acetic</a:t>
                </a:r>
                <a:r>
                  <a:rPr lang="en-GB" b="0" baseline="0"/>
                  <a:t> acid conversion (%)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570816"/>
        <c:crosses val="autoZero"/>
        <c:crossBetween val="midCat"/>
        <c:majorUnit val="10"/>
      </c:valAx>
      <c:valAx>
        <c:axId val="101570816"/>
        <c:scaling>
          <c:orientation val="minMax"/>
          <c:max val="8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</a:t>
                </a:r>
                <a:r>
                  <a:rPr lang="en-GB" b="0" baseline="0"/>
                  <a:t> selectivity (%)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5.4297108965275474E-3"/>
              <c:y val="0.2602684664416947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101568896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607861111111299"/>
          <c:y val="0.7099947222222226"/>
          <c:w val="0.27336611111111131"/>
          <c:h val="0.15471750000000034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Selectivity</a:t>
            </a:r>
            <a:r>
              <a:rPr lang="en-GB" sz="1200" b="0" baseline="0"/>
              <a:t> vs Fe</a:t>
            </a:r>
            <a:r>
              <a:rPr lang="en-GB" sz="1200" b="0" baseline="-25000"/>
              <a:t>3</a:t>
            </a:r>
            <a:r>
              <a:rPr lang="en-GB" sz="1200" b="0" baseline="0"/>
              <a:t>O</a:t>
            </a:r>
            <a:r>
              <a:rPr lang="en-GB" sz="1200" b="0" baseline="-25000"/>
              <a:t>4</a:t>
            </a:r>
            <a:r>
              <a:rPr lang="en-GB" sz="1200" b="0" baseline="0"/>
              <a:t> particle size at 400 </a:t>
            </a:r>
            <a:r>
              <a:rPr lang="en-GB" sz="1200" b="0" baseline="30000"/>
              <a:t>o</a:t>
            </a:r>
            <a:r>
              <a:rPr lang="en-GB" sz="1200" b="0" baseline="0"/>
              <a:t>C</a:t>
            </a:r>
            <a:endParaRPr lang="en-GB" sz="1200" b="0"/>
          </a:p>
        </c:rich>
      </c:tx>
      <c:layout>
        <c:manualLayout>
          <c:xMode val="edge"/>
          <c:yMode val="edge"/>
          <c:x val="0.193461666666666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9067888888888887"/>
          <c:y val="6.4470202020202011E-2"/>
          <c:w val="0.75284138888889085"/>
          <c:h val="0.80708131313131315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selectivity!$E$75:$E$81</c:f>
                <c:numCache>
                  <c:formatCode>General</c:formatCode>
                  <c:ptCount val="7"/>
                  <c:pt idx="0">
                    <c:v>0.56012754940447729</c:v>
                  </c:pt>
                  <c:pt idx="1">
                    <c:v>0.376425960282123</c:v>
                  </c:pt>
                  <c:pt idx="2">
                    <c:v>0.96064133589979317</c:v>
                  </c:pt>
                  <c:pt idx="3">
                    <c:v>1.5787424472752472</c:v>
                  </c:pt>
                  <c:pt idx="4">
                    <c:v>3.985961524708808</c:v>
                  </c:pt>
                  <c:pt idx="5">
                    <c:v>0.47579443200232846</c:v>
                  </c:pt>
                  <c:pt idx="6">
                    <c:v>15.334182140580291</c:v>
                  </c:pt>
                </c:numCache>
              </c:numRef>
            </c:plus>
            <c:minus>
              <c:numRef>
                <c:f>selectivity!$E$75:$E$81</c:f>
                <c:numCache>
                  <c:formatCode>General</c:formatCode>
                  <c:ptCount val="7"/>
                  <c:pt idx="0">
                    <c:v>0.56012754940447729</c:v>
                  </c:pt>
                  <c:pt idx="1">
                    <c:v>0.376425960282123</c:v>
                  </c:pt>
                  <c:pt idx="2">
                    <c:v>0.96064133589979317</c:v>
                  </c:pt>
                  <c:pt idx="3">
                    <c:v>1.5787424472752472</c:v>
                  </c:pt>
                  <c:pt idx="4">
                    <c:v>3.985961524708808</c:v>
                  </c:pt>
                  <c:pt idx="5">
                    <c:v>0.47579443200232846</c:v>
                  </c:pt>
                  <c:pt idx="6">
                    <c:v>15.334182140580291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selectivity!$B$60:$B$66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selectivity!$E$60:$E$66</c:f>
              <c:numCache>
                <c:formatCode>General</c:formatCode>
                <c:ptCount val="7"/>
                <c:pt idx="0">
                  <c:v>33.857354283451407</c:v>
                </c:pt>
                <c:pt idx="1">
                  <c:v>32.974003662519586</c:v>
                </c:pt>
                <c:pt idx="2">
                  <c:v>53.367741602783383</c:v>
                </c:pt>
                <c:pt idx="3">
                  <c:v>32.620899116336332</c:v>
                </c:pt>
                <c:pt idx="4">
                  <c:v>30.797789115646271</c:v>
                </c:pt>
                <c:pt idx="5">
                  <c:v>26.396734693877566</c:v>
                </c:pt>
                <c:pt idx="6">
                  <c:v>56.255392156862683</c:v>
                </c:pt>
              </c:numCache>
            </c:numRef>
          </c:yVal>
        </c:ser>
        <c:axId val="318093952"/>
        <c:axId val="318426496"/>
      </c:scatterChart>
      <c:valAx>
        <c:axId val="318093952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</a:t>
                </a:r>
                <a:r>
                  <a:rPr lang="en-GB" b="0" baseline="0"/>
                  <a:t> (nm)</a:t>
                </a:r>
                <a:endParaRPr lang="en-GB" b="0"/>
              </a:p>
            </c:rich>
          </c:tx>
          <c:layout/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18426496"/>
        <c:crosses val="autoZero"/>
        <c:crossBetween val="midCat"/>
        <c:majorUnit val="10"/>
      </c:valAx>
      <c:valAx>
        <c:axId val="318426496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selectivity (%)</a:t>
                </a:r>
              </a:p>
            </c:rich>
          </c:tx>
          <c:layout>
            <c:manualLayout>
              <c:xMode val="edge"/>
              <c:yMode val="edge"/>
              <c:x val="1.8465277777777785E-2"/>
              <c:y val="0.2509161616161618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crossAx val="318093952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/m</a:t>
            </a:r>
            <a:r>
              <a:rPr lang="en-GB" sz="1200" b="0" baseline="30000"/>
              <a:t>2</a:t>
            </a:r>
            <a:r>
              <a:rPr lang="en-GB" sz="1200" b="0"/>
              <a:t>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400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22206085858585856"/>
          <c:y val="1.2760833333333549E-2"/>
        </c:manualLayout>
      </c:layout>
      <c:overlay val="1"/>
    </c:title>
    <c:plotArea>
      <c:layout>
        <c:manualLayout>
          <c:layoutTarget val="inner"/>
          <c:xMode val="edge"/>
          <c:yMode val="edge"/>
          <c:x val="0.20934797979798239"/>
          <c:y val="9.3319139828551459E-2"/>
          <c:w val="0.74184545454547668"/>
          <c:h val="0.73139888888890003"/>
        </c:manualLayout>
      </c:layout>
      <c:scatterChart>
        <c:scatterStyle val="lineMarker"/>
        <c:ser>
          <c:idx val="2"/>
          <c:order val="0"/>
          <c:tx>
            <c:v>Fe3O4 heated in N2</c:v>
          </c:tx>
          <c:spPr>
            <a:ln w="28575">
              <a:noFill/>
            </a:ln>
          </c:spPr>
          <c:xVal>
            <c:numRef>
              <c:f>'conv and rate'!#REF!</c:f>
            </c:numRef>
          </c:xVal>
          <c:yVal>
            <c:numRef>
              <c:f>'conv and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Fe2O3 calcined and reduced</c:v>
          </c:tx>
          <c:spPr>
            <a:ln w="28575">
              <a:noFill/>
            </a:ln>
          </c:spPr>
          <c:xVal>
            <c:numRef>
              <c:f>'conv and rate'!#REF!</c:f>
            </c:numRef>
          </c:xVal>
          <c:yVal>
            <c:numRef>
              <c:f>'conv and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0"/>
          <c:order val="2"/>
          <c:tx>
            <c:v>Fe3O4/SiO2</c:v>
          </c:tx>
          <c:spPr>
            <a:ln w="28575">
              <a:noFill/>
            </a:ln>
          </c:spPr>
          <c:xVal>
            <c:numRef>
              <c:f>'conv and rate'!$DZ$1:$EF$1</c:f>
              <c:numCache>
                <c:formatCode>General</c:formatCode>
                <c:ptCount val="7"/>
                <c:pt idx="0">
                  <c:v>6.3</c:v>
                </c:pt>
                <c:pt idx="1">
                  <c:v>9</c:v>
                </c:pt>
                <c:pt idx="2">
                  <c:v>16.5</c:v>
                </c:pt>
                <c:pt idx="3">
                  <c:v>18.100000000000001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rate'!$BN$10:$BT$10</c:f>
              <c:numCache>
                <c:formatCode>General</c:formatCode>
                <c:ptCount val="7"/>
                <c:pt idx="0">
                  <c:v>5.47431238532552E-2</c:v>
                </c:pt>
                <c:pt idx="1">
                  <c:v>7.4187770463968405E-2</c:v>
                </c:pt>
                <c:pt idx="2">
                  <c:v>0.10942781775212261</c:v>
                </c:pt>
                <c:pt idx="3">
                  <c:v>8.8444252224300746E-2</c:v>
                </c:pt>
                <c:pt idx="4">
                  <c:v>6.7101003293225991E-2</c:v>
                </c:pt>
                <c:pt idx="5">
                  <c:v>8.2018191318287192E-2</c:v>
                </c:pt>
                <c:pt idx="6">
                  <c:v>0.16496845436485802</c:v>
                </c:pt>
              </c:numCache>
            </c:numRef>
          </c:yVal>
        </c:ser>
        <c:axId val="85501056"/>
        <c:axId val="85502976"/>
      </c:scatterChart>
      <c:valAx>
        <c:axId val="85501056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47308080808083"/>
              <c:y val="0.91584305555556578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5502976"/>
        <c:crosses val="autoZero"/>
        <c:crossBetween val="midCat"/>
      </c:valAx>
      <c:valAx>
        <c:axId val="855029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production rate</a:t>
                </a:r>
              </a:p>
              <a:p>
                <a:pPr>
                  <a:defRPr b="0"/>
                </a:pPr>
                <a:r>
                  <a:rPr lang="en-GB" b="0"/>
                  <a:t>(mmol /min /g /m</a:t>
                </a:r>
                <a:r>
                  <a:rPr lang="en-GB" b="0" baseline="30000"/>
                  <a:t>2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8776294752079738E-2"/>
              <c:y val="0.15838112481929412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5501056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37394090909091715"/>
          <c:y val="0.10970888888888899"/>
          <c:w val="0.55699570707071655"/>
          <c:h val="0.2094298942245954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/m</a:t>
            </a:r>
            <a:r>
              <a:rPr lang="en-GB" sz="1200" b="0" baseline="30000"/>
              <a:t>2</a:t>
            </a:r>
            <a:r>
              <a:rPr lang="en-GB" sz="1200" b="0"/>
              <a:t>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425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22206085858585856"/>
          <c:y val="1.2760833333333554E-2"/>
        </c:manualLayout>
      </c:layout>
      <c:overlay val="1"/>
    </c:title>
    <c:plotArea>
      <c:layout>
        <c:manualLayout>
          <c:layoutTarget val="inner"/>
          <c:xMode val="edge"/>
          <c:yMode val="edge"/>
          <c:x val="0.20934797979798245"/>
          <c:y val="9.3319139828551459E-2"/>
          <c:w val="0.74184545454547735"/>
          <c:h val="0.73139888888890003"/>
        </c:manualLayout>
      </c:layout>
      <c:scatterChart>
        <c:scatterStyle val="lineMarker"/>
        <c:ser>
          <c:idx val="2"/>
          <c:order val="0"/>
          <c:tx>
            <c:v>Fe3O4 heated in N2</c:v>
          </c:tx>
          <c:spPr>
            <a:ln w="28575">
              <a:noFill/>
            </a:ln>
          </c:spPr>
          <c:xVal>
            <c:numRef>
              <c:f>'conv and rate'!#REF!</c:f>
            </c:numRef>
          </c:xVal>
          <c:yVal>
            <c:numRef>
              <c:f>'conv and rate'!#REF!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</c:ser>
        <c:ser>
          <c:idx val="1"/>
          <c:order val="1"/>
          <c:tx>
            <c:v>Fe2O3 calcined and reduced</c:v>
          </c:tx>
          <c:spPr>
            <a:ln w="28575">
              <a:noFill/>
            </a:ln>
          </c:spPr>
          <c:xVal>
            <c:numRef>
              <c:f>'conv and rate'!#REF!</c:f>
            </c:numRef>
          </c:xVal>
          <c:yVal>
            <c:numRef>
              <c:f>'conv and rate'!#REF!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</c:ser>
        <c:ser>
          <c:idx val="0"/>
          <c:order val="2"/>
          <c:tx>
            <c:v>Fe3O4/SiO2</c:v>
          </c:tx>
          <c:spPr>
            <a:ln w="28575">
              <a:noFill/>
            </a:ln>
          </c:spPr>
          <c:xVal>
            <c:numRef>
              <c:f>'conv and rate'!$V$2:$AA$2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rate'!$BO$12:$BT$12</c:f>
              <c:numCache>
                <c:formatCode>General</c:formatCode>
                <c:ptCount val="6"/>
                <c:pt idx="0">
                  <c:v>0.13760791646937032</c:v>
                </c:pt>
                <c:pt idx="1">
                  <c:v>0.167955744893657</c:v>
                </c:pt>
                <c:pt idx="2">
                  <c:v>0.15582582987199389</c:v>
                </c:pt>
                <c:pt idx="3">
                  <c:v>0.15173330766823834</c:v>
                </c:pt>
                <c:pt idx="4">
                  <c:v>0.1563084152569611</c:v>
                </c:pt>
                <c:pt idx="5">
                  <c:v>0.25219573458573497</c:v>
                </c:pt>
              </c:numCache>
            </c:numRef>
          </c:yVal>
        </c:ser>
        <c:axId val="85873408"/>
        <c:axId val="85875328"/>
      </c:scatterChart>
      <c:valAx>
        <c:axId val="85873408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47308080808083"/>
              <c:y val="0.915843055555566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</a:t>
                </a:r>
                <a:r>
                  <a:rPr lang="en-GB" b="0" baseline="0"/>
                  <a:t> production </a:t>
                </a:r>
                <a:r>
                  <a:rPr lang="en-GB" b="0"/>
                  <a:t>rate</a:t>
                </a:r>
              </a:p>
              <a:p>
                <a:pPr>
                  <a:defRPr b="0"/>
                </a:pPr>
                <a:r>
                  <a:rPr lang="en-GB" b="0"/>
                  <a:t>(mmol /min /g /m</a:t>
                </a:r>
                <a:r>
                  <a:rPr lang="en-GB" b="0" baseline="30000"/>
                  <a:t>2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8776294752079738E-2"/>
              <c:y val="0.1583811248192942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587340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37394090909091737"/>
          <c:y val="0.10970888888888899"/>
          <c:w val="0.55699570707071677"/>
          <c:h val="0.2094298942245954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/m</a:t>
            </a:r>
            <a:r>
              <a:rPr lang="en-GB" sz="1200" b="0" baseline="30000"/>
              <a:t>2</a:t>
            </a:r>
            <a:r>
              <a:rPr lang="en-GB" sz="1200" b="0"/>
              <a:t>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450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22206085858585856"/>
          <c:y val="1.276083333333356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093479797979825"/>
          <c:y val="9.3319139828551459E-2"/>
          <c:w val="0.74184545454547801"/>
          <c:h val="0.73139888888890003"/>
        </c:manualLayout>
      </c:layout>
      <c:scatterChart>
        <c:scatterStyle val="lineMarker"/>
        <c:ser>
          <c:idx val="2"/>
          <c:order val="0"/>
          <c:spPr>
            <a:ln w="28575">
              <a:noFill/>
            </a:ln>
          </c:spPr>
          <c:xVal>
            <c:numRef>
              <c:f>'conv and rate'!#REF!</c:f>
            </c:numRef>
          </c:xVal>
          <c:yVal>
            <c:numRef>
              <c:f>'conv and rate'!#REF!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'conv and rate'!#REF!</c:f>
            </c:numRef>
          </c:xVal>
          <c:yVal>
            <c:numRef>
              <c:f>'conv and rate'!#REF!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</c:ser>
        <c:ser>
          <c:idx val="0"/>
          <c:order val="2"/>
          <c:spPr>
            <a:ln w="28575">
              <a:noFill/>
            </a:ln>
          </c:spPr>
          <c:xVal>
            <c:numRef>
              <c:f>'conv and rate'!$V$2:$AA$2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rate'!$BO$13:$BT$13</c:f>
              <c:numCache>
                <c:formatCode>General</c:formatCode>
                <c:ptCount val="6"/>
                <c:pt idx="0">
                  <c:v>0.33024160135737723</c:v>
                </c:pt>
                <c:pt idx="1">
                  <c:v>0.26292253195794796</c:v>
                </c:pt>
                <c:pt idx="2">
                  <c:v>0.40005339302044202</c:v>
                </c:pt>
                <c:pt idx="3">
                  <c:v>0.27200017711005764</c:v>
                </c:pt>
                <c:pt idx="4">
                  <c:v>0.36319439860694197</c:v>
                </c:pt>
                <c:pt idx="5">
                  <c:v>0.48116966971747688</c:v>
                </c:pt>
              </c:numCache>
            </c:numRef>
          </c:yVal>
        </c:ser>
        <c:axId val="85909888"/>
        <c:axId val="85911808"/>
      </c:scatterChart>
      <c:valAx>
        <c:axId val="85909888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47308080808083"/>
              <c:y val="0.91584305555556622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5911808"/>
        <c:crosses val="autoZero"/>
        <c:crossBetween val="midCat"/>
      </c:valAx>
      <c:valAx>
        <c:axId val="85911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</a:t>
                </a:r>
                <a:r>
                  <a:rPr lang="en-GB" b="0" baseline="0"/>
                  <a:t> production </a:t>
                </a:r>
                <a:r>
                  <a:rPr lang="en-GB" b="0"/>
                  <a:t>rate</a:t>
                </a:r>
              </a:p>
              <a:p>
                <a:pPr>
                  <a:defRPr b="0"/>
                </a:pPr>
                <a:r>
                  <a:rPr lang="en-GB" b="0"/>
                  <a:t>(mmol /min /g /m</a:t>
                </a:r>
                <a:r>
                  <a:rPr lang="en-GB" b="0" baseline="30000"/>
                  <a:t>2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8776294752079738E-2"/>
              <c:y val="0.15838112481929428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5909888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37394090909091754"/>
          <c:y val="0.10970888888888899"/>
          <c:w val="0.55699570707071699"/>
          <c:h val="0.2094298942245954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/m</a:t>
            </a:r>
            <a:r>
              <a:rPr lang="en-GB" sz="1200" b="0" baseline="30000"/>
              <a:t>2</a:t>
            </a:r>
            <a:r>
              <a:rPr lang="en-GB" sz="1200" b="0"/>
              <a:t>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</a:t>
            </a:r>
          </a:p>
        </c:rich>
      </c:tx>
      <c:layout>
        <c:manualLayout>
          <c:xMode val="edge"/>
          <c:yMode val="edge"/>
          <c:x val="0.27316333059043413"/>
          <c:y val="1.276083333333349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288958333333341"/>
          <c:y val="8.0490909090909127E-2"/>
          <c:w val="0.76830370370370371"/>
          <c:h val="0.76026262626262631"/>
        </c:manualLayout>
      </c:layout>
      <c:scatterChart>
        <c:scatterStyle val="lineMarker"/>
        <c:ser>
          <c:idx val="2"/>
          <c:order val="0"/>
          <c:tx>
            <c:v>450 C</c:v>
          </c:tx>
          <c:spPr>
            <a:ln w="28575">
              <a:noFill/>
            </a:ln>
          </c:spPr>
          <c:xVal>
            <c:numRef>
              <c:f>'conv and rate'!$V$2:$AA$2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rate'!$BO$13:$BT$13</c:f>
              <c:numCache>
                <c:formatCode>General</c:formatCode>
                <c:ptCount val="6"/>
                <c:pt idx="0">
                  <c:v>0.33024160135737723</c:v>
                </c:pt>
                <c:pt idx="1">
                  <c:v>0.26292253195794796</c:v>
                </c:pt>
                <c:pt idx="2">
                  <c:v>0.40005339302044202</c:v>
                </c:pt>
                <c:pt idx="3">
                  <c:v>0.27200017711005764</c:v>
                </c:pt>
                <c:pt idx="4">
                  <c:v>0.36319439860694197</c:v>
                </c:pt>
                <c:pt idx="5">
                  <c:v>0.48116966971747688</c:v>
                </c:pt>
              </c:numCache>
            </c:numRef>
          </c:yVal>
        </c:ser>
        <c:ser>
          <c:idx val="3"/>
          <c:order val="1"/>
          <c:tx>
            <c:v>425 C</c:v>
          </c:tx>
          <c:spPr>
            <a:ln w="28575">
              <a:noFill/>
            </a:ln>
          </c:spPr>
          <c:xVal>
            <c:numRef>
              <c:f>'conv and rate'!$V$2:$AA$2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rate'!$BO$12:$BT$12</c:f>
              <c:numCache>
                <c:formatCode>General</c:formatCode>
                <c:ptCount val="6"/>
                <c:pt idx="0">
                  <c:v>0.13760791646937032</c:v>
                </c:pt>
                <c:pt idx="1">
                  <c:v>0.167955744893657</c:v>
                </c:pt>
                <c:pt idx="2">
                  <c:v>0.15582582987199389</c:v>
                </c:pt>
                <c:pt idx="3">
                  <c:v>0.15173330766823834</c:v>
                </c:pt>
                <c:pt idx="4">
                  <c:v>0.1563084152569611</c:v>
                </c:pt>
                <c:pt idx="5">
                  <c:v>0.25219573458573497</c:v>
                </c:pt>
              </c:numCache>
            </c:numRef>
          </c:yVal>
        </c:ser>
        <c:ser>
          <c:idx val="1"/>
          <c:order val="2"/>
          <c:tx>
            <c:v>400 C</c:v>
          </c:tx>
          <c:spPr>
            <a:ln w="28575">
              <a:noFill/>
            </a:ln>
          </c:spPr>
          <c:xVal>
            <c:numRef>
              <c:f>'conv and rate'!$V$2:$AA$2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rate'!$BO$10:$BT$10</c:f>
              <c:numCache>
                <c:formatCode>General</c:formatCode>
                <c:ptCount val="6"/>
                <c:pt idx="0">
                  <c:v>7.4187770463968405E-2</c:v>
                </c:pt>
                <c:pt idx="1">
                  <c:v>0.10942781775212261</c:v>
                </c:pt>
                <c:pt idx="2">
                  <c:v>8.8444252224300746E-2</c:v>
                </c:pt>
                <c:pt idx="3">
                  <c:v>6.7101003293225991E-2</c:v>
                </c:pt>
                <c:pt idx="4">
                  <c:v>8.2018191318287192E-2</c:v>
                </c:pt>
                <c:pt idx="5">
                  <c:v>0.16496845436485802</c:v>
                </c:pt>
              </c:numCache>
            </c:numRef>
          </c:yVal>
        </c:ser>
        <c:ser>
          <c:idx val="0"/>
          <c:order val="3"/>
          <c:tx>
            <c:v>375 C</c:v>
          </c:tx>
          <c:spPr>
            <a:ln w="28575">
              <a:noFill/>
            </a:ln>
          </c:spPr>
          <c:xVal>
            <c:numRef>
              <c:f>'conv and rate'!$V$2:$AA$2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16.600000000000001</c:v>
                </c:pt>
                <c:pt idx="2">
                  <c:v>18.3</c:v>
                </c:pt>
                <c:pt idx="3">
                  <c:v>27.8</c:v>
                </c:pt>
                <c:pt idx="4">
                  <c:v>38.9</c:v>
                </c:pt>
                <c:pt idx="5">
                  <c:v>44.7</c:v>
                </c:pt>
              </c:numCache>
            </c:numRef>
          </c:xVal>
          <c:yVal>
            <c:numRef>
              <c:f>'conv and rate'!$BO$8:$BT$8</c:f>
              <c:numCache>
                <c:formatCode>General</c:formatCode>
                <c:ptCount val="6"/>
                <c:pt idx="0">
                  <c:v>3.466960231255907E-2</c:v>
                </c:pt>
                <c:pt idx="1">
                  <c:v>4.6388855763522072E-2</c:v>
                </c:pt>
                <c:pt idx="2">
                  <c:v>4.1309899354063401E-2</c:v>
                </c:pt>
                <c:pt idx="3">
                  <c:v>3.6967624779728037E-2</c:v>
                </c:pt>
                <c:pt idx="4">
                  <c:v>5.4937250526895812E-2</c:v>
                </c:pt>
                <c:pt idx="5">
                  <c:v>4.5692429998265061E-2</c:v>
                </c:pt>
              </c:numCache>
            </c:numRef>
          </c:yVal>
        </c:ser>
        <c:axId val="85152512"/>
        <c:axId val="85154432"/>
      </c:scatterChart>
      <c:valAx>
        <c:axId val="85152512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Particle size (nm)</a:t>
                </a:r>
              </a:p>
            </c:rich>
          </c:tx>
          <c:layout>
            <c:manualLayout>
              <c:xMode val="edge"/>
              <c:yMode val="edge"/>
              <c:x val="0.40473078703703702"/>
              <c:y val="0.9254643939393935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5154432"/>
        <c:crosses val="autoZero"/>
        <c:crossBetween val="midCat"/>
        <c:majorUnit val="10"/>
      </c:valAx>
      <c:valAx>
        <c:axId val="851544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Acetone production rate</a:t>
                </a:r>
              </a:p>
              <a:p>
                <a:pPr>
                  <a:defRPr b="0"/>
                </a:pPr>
                <a:r>
                  <a:rPr lang="en-GB" b="0"/>
                  <a:t>(mmol /min /g /m</a:t>
                </a:r>
                <a:r>
                  <a:rPr lang="en-GB" b="0" baseline="30000"/>
                  <a:t>2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2.740909090909125E-3"/>
              <c:y val="0.1654366666666667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5152512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2532272727272729"/>
          <c:y val="0.11323666666666669"/>
          <c:w val="0.21844218624767076"/>
          <c:h val="0.2835133333333332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Rate /g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particle size at 400 </a:t>
            </a:r>
            <a:r>
              <a:rPr lang="en-GB" sz="1200" b="0" baseline="30000"/>
              <a:t>o</a:t>
            </a:r>
            <a:r>
              <a:rPr lang="en-GB" sz="1200" b="0"/>
              <a:t>C</a:t>
            </a:r>
          </a:p>
        </c:rich>
      </c:tx>
      <c:layout>
        <c:manualLayout>
          <c:xMode val="edge"/>
          <c:yMode val="edge"/>
          <c:x val="0.18700611111111229"/>
          <c:y val="1.4524722222222225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398810547507594"/>
          <c:y val="9.3319139828551459E-2"/>
          <c:w val="0.75720525348372136"/>
          <c:h val="0.73139888888890003"/>
        </c:manualLayout>
      </c:layout>
      <c:scatterChart>
        <c:scatterStyle val="lineMarker"/>
        <c:ser>
          <c:idx val="0"/>
          <c:order val="0"/>
          <c:tx>
            <c:v>Fe3O4/SiO2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'conv and rate'!$U$2:$AA$2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'conv and rate'!$U$10:$AA$10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85190912"/>
        <c:axId val="88417024"/>
      </c:scatterChart>
      <c:valAx>
        <c:axId val="8519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 Particle size (nm)</a:t>
                </a:r>
              </a:p>
            </c:rich>
          </c:tx>
          <c:layout>
            <c:manualLayout>
              <c:xMode val="edge"/>
              <c:yMode val="edge"/>
              <c:x val="0.36239750000000032"/>
              <c:y val="0.91584305555555945"/>
            </c:manualLayout>
          </c:layout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8417024"/>
        <c:crosses val="autoZero"/>
        <c:crossBetween val="midCat"/>
        <c:majorUnit val="10"/>
      </c:valAx>
      <c:valAx>
        <c:axId val="884170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Acetic acid reaction rate</a:t>
                </a:r>
              </a:p>
              <a:p>
                <a:pPr>
                  <a:defRPr b="0"/>
                </a:pPr>
                <a:r>
                  <a:rPr lang="en-GB" b="0"/>
                  <a:t>(mmol /min /g Fe</a:t>
                </a:r>
                <a:r>
                  <a:rPr lang="en-GB" b="0" baseline="-25000"/>
                  <a:t>3</a:t>
                </a:r>
                <a:r>
                  <a:rPr lang="en-GB" b="0"/>
                  <a:t>O</a:t>
                </a:r>
                <a:r>
                  <a:rPr lang="en-GB" b="0" baseline="-25000"/>
                  <a:t>4</a:t>
                </a:r>
                <a:r>
                  <a:rPr lang="en-GB" b="0"/>
                  <a:t>)</a:t>
                </a:r>
              </a:p>
            </c:rich>
          </c:tx>
          <c:layout>
            <c:manualLayout>
              <c:xMode val="edge"/>
              <c:yMode val="edge"/>
              <c:x val="1.1374999999999988E-3"/>
              <c:y val="0.2212930555555555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85190912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3157027777778167"/>
          <c:y val="0.10970888888888899"/>
          <c:w val="0.50754166666666667"/>
          <c:h val="0.1762675925925950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542777777777786"/>
          <c:y val="6.1983888888888887E-2"/>
          <c:w val="0.79658555555555555"/>
          <c:h val="0.79095290172060007"/>
        </c:manualLayout>
      </c:layout>
      <c:scatterChart>
        <c:scatterStyle val="lineMarker"/>
        <c:ser>
          <c:idx val="0"/>
          <c:order val="0"/>
          <c:tx>
            <c:strRef>
              <c:f>'conv and rate'!$U$3</c:f>
              <c:strCache>
                <c:ptCount val="1"/>
                <c:pt idx="0">
                  <c:v>Fe3O4/SiO2 (6.3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rate'!$T$5:$T$13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rate'!$U$5:$U$13</c:f>
              <c:numCache>
                <c:formatCode>General</c:formatCode>
                <c:ptCount val="9"/>
                <c:pt idx="0">
                  <c:v>0.68537859007832569</c:v>
                </c:pt>
                <c:pt idx="1">
                  <c:v>4.4930374238468218</c:v>
                </c:pt>
                <c:pt idx="2">
                  <c:v>8.8718450826805864</c:v>
                </c:pt>
                <c:pt idx="3">
                  <c:v>16.677545691905994</c:v>
                </c:pt>
                <c:pt idx="4">
                  <c:v>24.102480417754574</c:v>
                </c:pt>
                <c:pt idx="5">
                  <c:v>29.750507687844497</c:v>
                </c:pt>
                <c:pt idx="6">
                  <c:v>41.427328111401216</c:v>
                </c:pt>
                <c:pt idx="7">
                  <c:v>57.80026109660573</c:v>
                </c:pt>
                <c:pt idx="8">
                  <c:v>83.768494342906877</c:v>
                </c:pt>
              </c:numCache>
            </c:numRef>
          </c:yVal>
        </c:ser>
        <c:ser>
          <c:idx val="1"/>
          <c:order val="1"/>
          <c:tx>
            <c:strRef>
              <c:f>'conv and rate'!$V$3</c:f>
              <c:strCache>
                <c:ptCount val="1"/>
                <c:pt idx="0">
                  <c:v>Fe3O4/SiO2 (9.7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rate'!$T$5:$T$13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rate'!$V$5:$V$13</c:f>
              <c:numCache>
                <c:formatCode>General</c:formatCode>
                <c:ptCount val="9"/>
                <c:pt idx="0">
                  <c:v>0.87615587455747634</c:v>
                </c:pt>
                <c:pt idx="1">
                  <c:v>1.9204389574760041</c:v>
                </c:pt>
                <c:pt idx="2">
                  <c:v>4.8010973936899912</c:v>
                </c:pt>
                <c:pt idx="3">
                  <c:v>13.05898491083677</c:v>
                </c:pt>
                <c:pt idx="4">
                  <c:v>19.780521262002754</c:v>
                </c:pt>
                <c:pt idx="5">
                  <c:v>26.886145404663925</c:v>
                </c:pt>
                <c:pt idx="6">
                  <c:v>34.74074074074074</c:v>
                </c:pt>
                <c:pt idx="7">
                  <c:v>51.419753086419753</c:v>
                </c:pt>
                <c:pt idx="8">
                  <c:v>79.726543209876553</c:v>
                </c:pt>
              </c:numCache>
            </c:numRef>
          </c:yVal>
        </c:ser>
        <c:ser>
          <c:idx val="2"/>
          <c:order val="2"/>
          <c:tx>
            <c:strRef>
              <c:f>'conv and rate'!$W$3</c:f>
              <c:strCache>
                <c:ptCount val="1"/>
                <c:pt idx="0">
                  <c:v>Fe3O4/SiO2 (16.6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rate'!$T$5:$T$13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rate'!$W$5:$W$13</c:f>
              <c:numCache>
                <c:formatCode>General</c:formatCode>
                <c:ptCount val="9"/>
                <c:pt idx="0">
                  <c:v>0.60013717421125401</c:v>
                </c:pt>
                <c:pt idx="1">
                  <c:v>1.3218211178830068</c:v>
                </c:pt>
                <c:pt idx="2">
                  <c:v>2.2334218888368</c:v>
                </c:pt>
                <c:pt idx="3">
                  <c:v>5.3100744908058592</c:v>
                </c:pt>
                <c:pt idx="4">
                  <c:v>10.209928634682502</c:v>
                </c:pt>
                <c:pt idx="5">
                  <c:v>14.312132103974582</c:v>
                </c:pt>
                <c:pt idx="6">
                  <c:v>23.496509871334062</c:v>
                </c:pt>
                <c:pt idx="7">
                  <c:v>34.825998202844204</c:v>
                </c:pt>
                <c:pt idx="8">
                  <c:v>39.51789342084701</c:v>
                </c:pt>
              </c:numCache>
            </c:numRef>
          </c:yVal>
        </c:ser>
        <c:ser>
          <c:idx val="3"/>
          <c:order val="3"/>
          <c:tx>
            <c:strRef>
              <c:f>'conv and rate'!$X$3</c:f>
              <c:strCache>
                <c:ptCount val="1"/>
                <c:pt idx="0">
                  <c:v>Fe3O4/SiO2 (18.3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rate'!$T$5:$T$13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rate'!$X$5:$X$13</c:f>
              <c:numCache>
                <c:formatCode>General</c:formatCode>
                <c:ptCount val="9"/>
                <c:pt idx="0">
                  <c:v>0</c:v>
                </c:pt>
                <c:pt idx="1">
                  <c:v>2.1851807201030757</c:v>
                </c:pt>
                <c:pt idx="2">
                  <c:v>3.350563822167298</c:v>
                </c:pt>
                <c:pt idx="3">
                  <c:v>11.362572648858828</c:v>
                </c:pt>
                <c:pt idx="4">
                  <c:v>14.858721955051493</c:v>
                </c:pt>
                <c:pt idx="5">
                  <c:v>17.189488159179938</c:v>
                </c:pt>
                <c:pt idx="6">
                  <c:v>23.49712419910254</c:v>
                </c:pt>
                <c:pt idx="7">
                  <c:v>33.679659053388676</c:v>
                </c:pt>
                <c:pt idx="8">
                  <c:v>49.732811284323333</c:v>
                </c:pt>
              </c:numCache>
            </c:numRef>
          </c:yVal>
        </c:ser>
        <c:ser>
          <c:idx val="6"/>
          <c:order val="4"/>
          <c:tx>
            <c:strRef>
              <c:f>'conv and rate'!$Y$3</c:f>
              <c:strCache>
                <c:ptCount val="1"/>
                <c:pt idx="0">
                  <c:v>Fe3O4/SiO2 (27.8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rate'!$T$5:$T$13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rate'!$Y$5:$Y$13</c:f>
              <c:numCache>
                <c:formatCode>General</c:formatCode>
                <c:ptCount val="9"/>
                <c:pt idx="0">
                  <c:v>0</c:v>
                </c:pt>
                <c:pt idx="1">
                  <c:v>1.2167987762480903</c:v>
                </c:pt>
                <c:pt idx="2">
                  <c:v>2.2713577156630946</c:v>
                </c:pt>
                <c:pt idx="3">
                  <c:v>4.7455152273675418</c:v>
                </c:pt>
                <c:pt idx="4">
                  <c:v>7.1385528206554492</c:v>
                </c:pt>
                <c:pt idx="5">
                  <c:v>9.0854308626523874</c:v>
                </c:pt>
                <c:pt idx="6">
                  <c:v>11.032308904649332</c:v>
                </c:pt>
                <c:pt idx="7">
                  <c:v>17.684142214805544</c:v>
                </c:pt>
                <c:pt idx="8">
                  <c:v>35.238492560144621</c:v>
                </c:pt>
              </c:numCache>
            </c:numRef>
          </c:yVal>
        </c:ser>
        <c:ser>
          <c:idx val="5"/>
          <c:order val="5"/>
          <c:tx>
            <c:strRef>
              <c:f>'conv and rate'!$Z$3</c:f>
              <c:strCache>
                <c:ptCount val="1"/>
                <c:pt idx="0">
                  <c:v>Fe3O4/SiO2 (38.9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rate'!$T$5:$T$13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rate'!$Z$5:$Z$13</c:f>
              <c:numCache>
                <c:formatCode>General</c:formatCode>
                <c:ptCount val="9"/>
                <c:pt idx="0">
                  <c:v>0</c:v>
                </c:pt>
                <c:pt idx="1">
                  <c:v>0.65104166666666075</c:v>
                </c:pt>
                <c:pt idx="2">
                  <c:v>0.43402777777776785</c:v>
                </c:pt>
                <c:pt idx="3">
                  <c:v>5.3530092592592649</c:v>
                </c:pt>
                <c:pt idx="4">
                  <c:v>6.7997685185185217</c:v>
                </c:pt>
                <c:pt idx="5">
                  <c:v>6.9444444444444402</c:v>
                </c:pt>
                <c:pt idx="6">
                  <c:v>9.1145833333333304</c:v>
                </c:pt>
                <c:pt idx="7">
                  <c:v>17.216435185185183</c:v>
                </c:pt>
                <c:pt idx="8">
                  <c:v>25.976562499999993</c:v>
                </c:pt>
              </c:numCache>
            </c:numRef>
          </c:yVal>
        </c:ser>
        <c:ser>
          <c:idx val="4"/>
          <c:order val="6"/>
          <c:tx>
            <c:strRef>
              <c:f>'conv and rate'!$AA$3</c:f>
              <c:strCache>
                <c:ptCount val="1"/>
                <c:pt idx="0">
                  <c:v>Fe3O4/SiO2 (44.7 nm)</c:v>
                </c:pt>
              </c:strCache>
            </c:strRef>
          </c:tx>
          <c:spPr>
            <a:ln w="28575">
              <a:noFill/>
            </a:ln>
          </c:spPr>
          <c:xVal>
            <c:numRef>
              <c:f>'conv and rate'!$T$5:$T$13</c:f>
              <c:numCache>
                <c:formatCode>General</c:formatCode>
                <c:ptCount val="9"/>
                <c:pt idx="0">
                  <c:v>300</c:v>
                </c:pt>
                <c:pt idx="1">
                  <c:v>325</c:v>
                </c:pt>
                <c:pt idx="2">
                  <c:v>350</c:v>
                </c:pt>
                <c:pt idx="3">
                  <c:v>375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425</c:v>
                </c:pt>
                <c:pt idx="8">
                  <c:v>450</c:v>
                </c:pt>
              </c:numCache>
            </c:numRef>
          </c:xVal>
          <c:yVal>
            <c:numRef>
              <c:f>'conv and rate'!$AA$5:$AA$13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1.1520737327188968</c:v>
                </c:pt>
                <c:pt idx="3">
                  <c:v>1.7921146953405058</c:v>
                </c:pt>
                <c:pt idx="4">
                  <c:v>3.4988905956647898</c:v>
                </c:pt>
                <c:pt idx="5">
                  <c:v>5.0634351709620553</c:v>
                </c:pt>
                <c:pt idx="6">
                  <c:v>4.7789725209080007</c:v>
                </c:pt>
                <c:pt idx="7">
                  <c:v>10.219320703191672</c:v>
                </c:pt>
                <c:pt idx="8">
                  <c:v>16.854412015702341</c:v>
                </c:pt>
              </c:numCache>
            </c:numRef>
          </c:yVal>
        </c:ser>
        <c:axId val="88469888"/>
        <c:axId val="88471808"/>
      </c:scatterChart>
      <c:valAx>
        <c:axId val="88469888"/>
        <c:scaling>
          <c:orientation val="minMax"/>
          <c:max val="450"/>
          <c:min val="3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(oC)</a:t>
                </a:r>
              </a:p>
            </c:rich>
          </c:tx>
          <c:layout/>
        </c:title>
        <c:numFmt formatCode="General" sourceLinked="1"/>
        <c:tickLblPos val="nextTo"/>
        <c:crossAx val="88471808"/>
        <c:crosses val="autoZero"/>
        <c:crossBetween val="midCat"/>
      </c:valAx>
      <c:valAx>
        <c:axId val="88471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acetica acid</a:t>
                </a:r>
                <a:r>
                  <a:rPr lang="en-GB" baseline="0"/>
                  <a:t> </a:t>
                </a:r>
                <a:r>
                  <a:rPr lang="en-GB"/>
                  <a:t>rate (mmol /min /g Fe3O4)</a:t>
                </a:r>
              </a:p>
            </c:rich>
          </c:tx>
          <c:layout>
            <c:manualLayout>
              <c:xMode val="edge"/>
              <c:yMode val="edge"/>
              <c:x val="1.7193572147355101E-2"/>
              <c:y val="6.7640711577719448E-2"/>
            </c:manualLayout>
          </c:layout>
        </c:title>
        <c:numFmt formatCode="General" sourceLinked="1"/>
        <c:tickLblPos val="nextTo"/>
        <c:crossAx val="88469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229472222222231"/>
          <c:y val="5.2027777777777784E-2"/>
          <c:w val="0.42020888888888908"/>
          <c:h val="0.51455444593815958"/>
        </c:manualLayout>
      </c:layout>
      <c:spPr>
        <a:solidFill>
          <a:sysClr val="window" lastClr="FFFFFF"/>
        </a:solidFill>
      </c:spPr>
    </c:legend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1333500</xdr:colOff>
      <xdr:row>13</xdr:row>
      <xdr:rowOff>9523</xdr:rowOff>
    </xdr:from>
    <xdr:to>
      <xdr:col>40</xdr:col>
      <xdr:colOff>904425</xdr:colOff>
      <xdr:row>31</xdr:row>
      <xdr:rowOff>180523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1066800</xdr:colOff>
      <xdr:row>71</xdr:row>
      <xdr:rowOff>146049</xdr:rowOff>
    </xdr:from>
    <xdr:to>
      <xdr:col>27</xdr:col>
      <xdr:colOff>23363</xdr:colOff>
      <xdr:row>89</xdr:row>
      <xdr:rowOff>174174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1274763</xdr:colOff>
      <xdr:row>71</xdr:row>
      <xdr:rowOff>6350</xdr:rowOff>
    </xdr:from>
    <xdr:to>
      <xdr:col>23</xdr:col>
      <xdr:colOff>707575</xdr:colOff>
      <xdr:row>89</xdr:row>
      <xdr:rowOff>34475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179</xdr:col>
      <xdr:colOff>201386</xdr:colOff>
      <xdr:row>15</xdr:row>
      <xdr:rowOff>155121</xdr:rowOff>
    </xdr:from>
    <xdr:to>
      <xdr:col>186</xdr:col>
      <xdr:colOff>254186</xdr:colOff>
      <xdr:row>36</xdr:row>
      <xdr:rowOff>114621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187</xdr:col>
      <xdr:colOff>361950</xdr:colOff>
      <xdr:row>16</xdr:row>
      <xdr:rowOff>95250</xdr:rowOff>
    </xdr:from>
    <xdr:to>
      <xdr:col>194</xdr:col>
      <xdr:colOff>54750</xdr:colOff>
      <xdr:row>35</xdr:row>
      <xdr:rowOff>75750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195</xdr:col>
      <xdr:colOff>0</xdr:colOff>
      <xdr:row>17</xdr:row>
      <xdr:rowOff>0</xdr:rowOff>
    </xdr:from>
    <xdr:to>
      <xdr:col>201</xdr:col>
      <xdr:colOff>302400</xdr:colOff>
      <xdr:row>35</xdr:row>
      <xdr:rowOff>171000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234</xdr:col>
      <xdr:colOff>0</xdr:colOff>
      <xdr:row>36</xdr:row>
      <xdr:rowOff>190499</xdr:rowOff>
    </xdr:from>
    <xdr:to>
      <xdr:col>241</xdr:col>
      <xdr:colOff>52800</xdr:colOff>
      <xdr:row>57</xdr:row>
      <xdr:rowOff>35699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914398</xdr:colOff>
      <xdr:row>14</xdr:row>
      <xdr:rowOff>180975</xdr:rowOff>
    </xdr:from>
    <xdr:to>
      <xdr:col>22</xdr:col>
      <xdr:colOff>666298</xdr:colOff>
      <xdr:row>33</xdr:row>
      <xdr:rowOff>161475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857251</xdr:colOff>
      <xdr:row>14</xdr:row>
      <xdr:rowOff>152400</xdr:rowOff>
    </xdr:from>
    <xdr:to>
      <xdr:col>29</xdr:col>
      <xdr:colOff>1266376</xdr:colOff>
      <xdr:row>33</xdr:row>
      <xdr:rowOff>132900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447675</xdr:colOff>
      <xdr:row>13</xdr:row>
      <xdr:rowOff>114300</xdr:rowOff>
    </xdr:from>
    <xdr:to>
      <xdr:col>35</xdr:col>
      <xdr:colOff>1323525</xdr:colOff>
      <xdr:row>32</xdr:row>
      <xdr:rowOff>94800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371473</xdr:colOff>
      <xdr:row>14</xdr:row>
      <xdr:rowOff>47625</xdr:rowOff>
    </xdr:from>
    <xdr:to>
      <xdr:col>32</xdr:col>
      <xdr:colOff>1313998</xdr:colOff>
      <xdr:row>33</xdr:row>
      <xdr:rowOff>28125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942975</xdr:colOff>
      <xdr:row>14</xdr:row>
      <xdr:rowOff>180975</xdr:rowOff>
    </xdr:from>
    <xdr:to>
      <xdr:col>25</xdr:col>
      <xdr:colOff>456750</xdr:colOff>
      <xdr:row>33</xdr:row>
      <xdr:rowOff>161475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542924</xdr:colOff>
      <xdr:row>13</xdr:row>
      <xdr:rowOff>123823</xdr:rowOff>
    </xdr:from>
    <xdr:to>
      <xdr:col>5</xdr:col>
      <xdr:colOff>923474</xdr:colOff>
      <xdr:row>32</xdr:row>
      <xdr:rowOff>104323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466725</xdr:colOff>
      <xdr:row>53</xdr:row>
      <xdr:rowOff>76200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714376</xdr:colOff>
      <xdr:row>39</xdr:row>
      <xdr:rowOff>38100</xdr:rowOff>
    </xdr:from>
    <xdr:to>
      <xdr:col>17</xdr:col>
      <xdr:colOff>548137</xdr:colOff>
      <xdr:row>53</xdr:row>
      <xdr:rowOff>114300</xdr:rowOff>
    </xdr:to>
    <xdr:graphicFrame macro="">
      <xdr:nvGraphicFramePr>
        <xdr:cNvPr id="6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38100</xdr:colOff>
      <xdr:row>34</xdr:row>
      <xdr:rowOff>66675</xdr:rowOff>
    </xdr:from>
    <xdr:to>
      <xdr:col>30</xdr:col>
      <xdr:colOff>304350</xdr:colOff>
      <xdr:row>53</xdr:row>
      <xdr:rowOff>47175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1171575</xdr:colOff>
      <xdr:row>34</xdr:row>
      <xdr:rowOff>0</xdr:rowOff>
    </xdr:from>
    <xdr:to>
      <xdr:col>25</xdr:col>
      <xdr:colOff>685350</xdr:colOff>
      <xdr:row>52</xdr:row>
      <xdr:rowOff>171000</xdr:rowOff>
    </xdr:to>
    <xdr:graphicFrame macro="">
      <xdr:nvGraphicFramePr>
        <xdr:cNvPr id="61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34</xdr:row>
      <xdr:rowOff>38100</xdr:rowOff>
    </xdr:from>
    <xdr:to>
      <xdr:col>22</xdr:col>
      <xdr:colOff>799650</xdr:colOff>
      <xdr:row>53</xdr:row>
      <xdr:rowOff>18600</xdr:rowOff>
    </xdr:to>
    <xdr:graphicFrame macro="">
      <xdr:nvGraphicFramePr>
        <xdr:cNvPr id="63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56</xdr:col>
      <xdr:colOff>990600</xdr:colOff>
      <xdr:row>13</xdr:row>
      <xdr:rowOff>142875</xdr:rowOff>
    </xdr:from>
    <xdr:to>
      <xdr:col>61</xdr:col>
      <xdr:colOff>304350</xdr:colOff>
      <xdr:row>32</xdr:row>
      <xdr:rowOff>123375</xdr:rowOff>
    </xdr:to>
    <xdr:graphicFrame macro="">
      <xdr:nvGraphicFramePr>
        <xdr:cNvPr id="65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63</xdr:col>
      <xdr:colOff>113760</xdr:colOff>
      <xdr:row>13</xdr:row>
      <xdr:rowOff>179358</xdr:rowOff>
    </xdr:from>
    <xdr:to>
      <xdr:col>67</xdr:col>
      <xdr:colOff>973642</xdr:colOff>
      <xdr:row>33</xdr:row>
      <xdr:rowOff>5302</xdr:rowOff>
    </xdr:to>
    <xdr:graphicFrame macro="">
      <xdr:nvGraphicFramePr>
        <xdr:cNvPr id="6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68</xdr:col>
      <xdr:colOff>467265</xdr:colOff>
      <xdr:row>12</xdr:row>
      <xdr:rowOff>161745</xdr:rowOff>
    </xdr:from>
    <xdr:to>
      <xdr:col>71</xdr:col>
      <xdr:colOff>967147</xdr:colOff>
      <xdr:row>31</xdr:row>
      <xdr:rowOff>176391</xdr:rowOff>
    </xdr:to>
    <xdr:graphicFrame macro="">
      <xdr:nvGraphicFramePr>
        <xdr:cNvPr id="67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0.88416</cdr:x>
      <cdr:y>0.08247</cdr:y>
    </cdr:from>
    <cdr:to>
      <cdr:x>1</cdr:x>
      <cdr:y>0.89868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2261450" y="1536715"/>
          <a:ext cx="2938373" cy="458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200" b="0">
              <a:latin typeface="Arial" pitchFamily="34" charset="0"/>
              <a:cs typeface="Arial" pitchFamily="34" charset="0"/>
            </a:rPr>
            <a:t>Acetone production rate (mmol</a:t>
          </a:r>
          <a:r>
            <a:rPr lang="en-GB" sz="1200" b="0" baseline="0">
              <a:latin typeface="Arial" pitchFamily="34" charset="0"/>
              <a:cs typeface="Arial" pitchFamily="34" charset="0"/>
            </a:rPr>
            <a:t> </a:t>
          </a:r>
          <a:r>
            <a:rPr lang="en-GB" sz="1200" b="0">
              <a:latin typeface="Arial" pitchFamily="34" charset="0"/>
              <a:cs typeface="Arial" pitchFamily="34" charset="0"/>
            </a:rPr>
            <a:t>min</a:t>
          </a:r>
          <a:r>
            <a:rPr lang="en-GB" sz="1200" b="0" baseline="30000">
              <a:latin typeface="Arial" pitchFamily="34" charset="0"/>
              <a:cs typeface="Arial" pitchFamily="34" charset="0"/>
            </a:rPr>
            <a:t>-1</a:t>
          </a:r>
          <a:r>
            <a:rPr lang="en-GB" sz="1200" b="0">
              <a:latin typeface="Arial" pitchFamily="34" charset="0"/>
              <a:cs typeface="Arial" pitchFamily="34" charset="0"/>
            </a:rPr>
            <a:t> g</a:t>
          </a:r>
          <a:r>
            <a:rPr lang="en-GB" sz="1200" b="0" baseline="30000">
              <a:latin typeface="Arial" pitchFamily="34" charset="0"/>
              <a:cs typeface="Arial" pitchFamily="34" charset="0"/>
            </a:rPr>
            <a:t>-1</a:t>
          </a:r>
          <a:r>
            <a:rPr lang="en-GB" sz="1200" b="0">
              <a:latin typeface="Arial" pitchFamily="34" charset="0"/>
              <a:cs typeface="Arial" pitchFamily="34" charset="0"/>
            </a:rPr>
            <a:t> Fe</a:t>
          </a:r>
          <a:r>
            <a:rPr lang="en-GB" sz="1200" b="0" baseline="-25000">
              <a:latin typeface="Arial" pitchFamily="34" charset="0"/>
              <a:cs typeface="Arial" pitchFamily="34" charset="0"/>
            </a:rPr>
            <a:t>3</a:t>
          </a:r>
          <a:r>
            <a:rPr lang="en-GB" sz="1200" b="0">
              <a:latin typeface="Arial" pitchFamily="34" charset="0"/>
              <a:cs typeface="Arial" pitchFamily="34" charset="0"/>
            </a:rPr>
            <a:t>O</a:t>
          </a:r>
          <a:r>
            <a:rPr lang="en-GB" sz="1200" b="0" baseline="-25000">
              <a:latin typeface="Arial" pitchFamily="34" charset="0"/>
              <a:cs typeface="Arial" pitchFamily="34" charset="0"/>
            </a:rPr>
            <a:t>4</a:t>
          </a:r>
          <a:r>
            <a:rPr lang="en-GB" sz="1200" b="0" baseline="0">
              <a:latin typeface="Arial" pitchFamily="34" charset="0"/>
              <a:cs typeface="Arial" pitchFamily="34" charset="0"/>
            </a:rPr>
            <a:t>)</a:t>
          </a:r>
          <a:endParaRPr lang="en-GB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34</xdr:row>
      <xdr:rowOff>38100</xdr:rowOff>
    </xdr:from>
    <xdr:to>
      <xdr:col>52</xdr:col>
      <xdr:colOff>561525</xdr:colOff>
      <xdr:row>53</xdr:row>
      <xdr:rowOff>18600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561975</xdr:colOff>
      <xdr:row>34</xdr:row>
      <xdr:rowOff>19050</xdr:rowOff>
    </xdr:from>
    <xdr:to>
      <xdr:col>40</xdr:col>
      <xdr:colOff>504375</xdr:colOff>
      <xdr:row>52</xdr:row>
      <xdr:rowOff>190050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34</xdr:row>
      <xdr:rowOff>38100</xdr:rowOff>
    </xdr:from>
    <xdr:to>
      <xdr:col>46</xdr:col>
      <xdr:colOff>552000</xdr:colOff>
      <xdr:row>53</xdr:row>
      <xdr:rowOff>18600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114300</xdr:colOff>
      <xdr:row>54</xdr:row>
      <xdr:rowOff>47625</xdr:rowOff>
    </xdr:from>
    <xdr:to>
      <xdr:col>44</xdr:col>
      <xdr:colOff>56700</xdr:colOff>
      <xdr:row>73</xdr:row>
      <xdr:rowOff>28125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466725</xdr:colOff>
      <xdr:row>54</xdr:row>
      <xdr:rowOff>76200</xdr:rowOff>
    </xdr:from>
    <xdr:to>
      <xdr:col>50</xdr:col>
      <xdr:colOff>409125</xdr:colOff>
      <xdr:row>73</xdr:row>
      <xdr:rowOff>56700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457200</xdr:colOff>
      <xdr:row>52</xdr:row>
      <xdr:rowOff>152400</xdr:rowOff>
    </xdr:from>
    <xdr:to>
      <xdr:col>37</xdr:col>
      <xdr:colOff>399600</xdr:colOff>
      <xdr:row>71</xdr:row>
      <xdr:rowOff>132900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361951</xdr:colOff>
      <xdr:row>12</xdr:row>
      <xdr:rowOff>104775</xdr:rowOff>
    </xdr:from>
    <xdr:to>
      <xdr:col>25</xdr:col>
      <xdr:colOff>414751</xdr:colOff>
      <xdr:row>33</xdr:row>
      <xdr:rowOff>64275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114299</xdr:colOff>
      <xdr:row>34</xdr:row>
      <xdr:rowOff>57150</xdr:rowOff>
    </xdr:from>
    <xdr:to>
      <xdr:col>25</xdr:col>
      <xdr:colOff>167099</xdr:colOff>
      <xdr:row>55</xdr:row>
      <xdr:rowOff>16650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533400</xdr:colOff>
      <xdr:row>58</xdr:row>
      <xdr:rowOff>38100</xdr:rowOff>
    </xdr:from>
    <xdr:to>
      <xdr:col>11</xdr:col>
      <xdr:colOff>409125</xdr:colOff>
      <xdr:row>77</xdr:row>
      <xdr:rowOff>18600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238125</xdr:colOff>
      <xdr:row>77</xdr:row>
      <xdr:rowOff>104775</xdr:rowOff>
    </xdr:from>
    <xdr:to>
      <xdr:col>33</xdr:col>
      <xdr:colOff>180525</xdr:colOff>
      <xdr:row>96</xdr:row>
      <xdr:rowOff>85275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904875</xdr:colOff>
      <xdr:row>81</xdr:row>
      <xdr:rowOff>9525</xdr:rowOff>
    </xdr:from>
    <xdr:to>
      <xdr:col>18</xdr:col>
      <xdr:colOff>513900</xdr:colOff>
      <xdr:row>99</xdr:row>
      <xdr:rowOff>180525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190500</xdr:colOff>
      <xdr:row>57</xdr:row>
      <xdr:rowOff>152400</xdr:rowOff>
    </xdr:from>
    <xdr:to>
      <xdr:col>27</xdr:col>
      <xdr:colOff>132900</xdr:colOff>
      <xdr:row>76</xdr:row>
      <xdr:rowOff>132900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352425</xdr:colOff>
      <xdr:row>81</xdr:row>
      <xdr:rowOff>19050</xdr:rowOff>
    </xdr:from>
    <xdr:to>
      <xdr:col>25</xdr:col>
      <xdr:colOff>294825</xdr:colOff>
      <xdr:row>99</xdr:row>
      <xdr:rowOff>190050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142875</xdr:colOff>
      <xdr:row>57</xdr:row>
      <xdr:rowOff>57150</xdr:rowOff>
    </xdr:from>
    <xdr:to>
      <xdr:col>33</xdr:col>
      <xdr:colOff>85275</xdr:colOff>
      <xdr:row>76</xdr:row>
      <xdr:rowOff>37650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58</xdr:row>
      <xdr:rowOff>47625</xdr:rowOff>
    </xdr:from>
    <xdr:to>
      <xdr:col>17</xdr:col>
      <xdr:colOff>247200</xdr:colOff>
      <xdr:row>77</xdr:row>
      <xdr:rowOff>28125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e2O3red@280C" TargetMode="External"/><Relationship Id="rId2" Type="http://schemas.openxmlformats.org/officeDocument/2006/relationships/hyperlink" Target="mailto:Fe3O4@500C" TargetMode="External"/><Relationship Id="rId1" Type="http://schemas.openxmlformats.org/officeDocument/2006/relationships/hyperlink" Target="mailto:Fe3O4@800C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F91"/>
  <sheetViews>
    <sheetView tabSelected="1" zoomScale="106" zoomScaleNormal="106" workbookViewId="0">
      <selection activeCell="G22" sqref="G22"/>
    </sheetView>
  </sheetViews>
  <sheetFormatPr defaultRowHeight="15"/>
  <cols>
    <col min="1" max="1" width="7.85546875" customWidth="1"/>
    <col min="2" max="2" width="12.5703125" customWidth="1"/>
    <col min="3" max="3" width="19" bestFit="1" customWidth="1"/>
    <col min="4" max="4" width="14.140625" bestFit="1" customWidth="1"/>
    <col min="5" max="6" width="15.140625" bestFit="1" customWidth="1"/>
    <col min="7" max="7" width="17.7109375" bestFit="1" customWidth="1"/>
    <col min="8" max="8" width="15.140625" bestFit="1" customWidth="1"/>
    <col min="9" max="9" width="20.5703125" bestFit="1" customWidth="1"/>
    <col min="11" max="11" width="16.140625" customWidth="1"/>
    <col min="12" max="12" width="15.140625" customWidth="1"/>
    <col min="13" max="13" width="14.28515625" customWidth="1"/>
    <col min="14" max="14" width="15.7109375" customWidth="1"/>
    <col min="15" max="15" width="14.85546875" customWidth="1"/>
    <col min="16" max="17" width="19.85546875" customWidth="1"/>
    <col min="18" max="19" width="15.28515625" customWidth="1"/>
    <col min="20" max="20" width="15.7109375" customWidth="1"/>
    <col min="21" max="21" width="21.140625" customWidth="1"/>
    <col min="22" max="22" width="20.85546875" bestFit="1" customWidth="1"/>
    <col min="23" max="26" width="20.42578125" bestFit="1" customWidth="1"/>
    <col min="30" max="30" width="22.5703125" bestFit="1" customWidth="1"/>
    <col min="31" max="31" width="19.42578125" bestFit="1" customWidth="1"/>
    <col min="32" max="36" width="20.42578125" bestFit="1" customWidth="1"/>
    <col min="39" max="39" width="12.5703125" customWidth="1"/>
    <col min="41" max="42" width="15.28515625" customWidth="1"/>
    <col min="43" max="43" width="15.5703125" customWidth="1"/>
    <col min="44" max="44" width="18" customWidth="1"/>
    <col min="45" max="58" width="15.28515625" customWidth="1"/>
    <col min="59" max="59" width="7.7109375" customWidth="1"/>
    <col min="60" max="60" width="16.85546875" customWidth="1"/>
    <col min="66" max="66" width="11.85546875" customWidth="1"/>
    <col min="67" max="68" width="16.28515625" customWidth="1"/>
    <col min="69" max="69" width="15.5703125" customWidth="1"/>
    <col min="70" max="70" width="15.85546875" customWidth="1"/>
    <col min="71" max="80" width="15" customWidth="1"/>
    <col min="81" max="85" width="12.85546875" customWidth="1"/>
    <col min="87" max="87" width="11.7109375" customWidth="1"/>
    <col min="92" max="92" width="12" bestFit="1" customWidth="1"/>
    <col min="95" max="99" width="12" bestFit="1" customWidth="1"/>
    <col min="100" max="100" width="14" customWidth="1"/>
    <col min="101" max="102" width="12" customWidth="1"/>
    <col min="103" max="103" width="14.85546875" customWidth="1"/>
    <col min="104" max="107" width="12" customWidth="1"/>
    <col min="108" max="108" width="19" customWidth="1"/>
    <col min="109" max="109" width="17.5703125" customWidth="1"/>
    <col min="110" max="113" width="18.7109375" customWidth="1"/>
    <col min="114" max="118" width="14.42578125" customWidth="1"/>
    <col min="119" max="119" width="12.140625" customWidth="1"/>
    <col min="120" max="121" width="12" customWidth="1"/>
    <col min="122" max="122" width="19.140625" customWidth="1"/>
    <col min="123" max="123" width="18.140625" customWidth="1"/>
    <col min="124" max="124" width="19.5703125" customWidth="1"/>
    <col min="125" max="125" width="6.7109375" customWidth="1"/>
    <col min="126" max="126" width="10.140625" customWidth="1"/>
    <col min="140" max="140" width="12.85546875" customWidth="1"/>
    <col min="149" max="149" width="14.5703125" customWidth="1"/>
    <col min="151" max="151" width="11.28515625" customWidth="1"/>
    <col min="152" max="152" width="12.42578125" customWidth="1"/>
    <col min="153" max="153" width="11.7109375" customWidth="1"/>
    <col min="154" max="154" width="13.28515625" customWidth="1"/>
    <col min="155" max="155" width="18.28515625" customWidth="1"/>
    <col min="156" max="156" width="11" customWidth="1"/>
    <col min="157" max="157" width="10.28515625" customWidth="1"/>
    <col min="158" max="158" width="18.28515625" customWidth="1"/>
    <col min="185" max="185" width="15.85546875" customWidth="1"/>
    <col min="186" max="186" width="15" customWidth="1"/>
    <col min="187" max="187" width="14" customWidth="1"/>
    <col min="188" max="188" width="16.42578125" customWidth="1"/>
    <col min="189" max="189" width="14.42578125" customWidth="1"/>
    <col min="190" max="190" width="15.140625" customWidth="1"/>
  </cols>
  <sheetData>
    <row r="1" spans="2:136">
      <c r="B1" t="s">
        <v>0</v>
      </c>
      <c r="C1" s="42" t="s">
        <v>1</v>
      </c>
      <c r="D1" s="19"/>
      <c r="E1" s="19"/>
      <c r="F1" s="19"/>
      <c r="G1" s="19"/>
      <c r="H1" s="19"/>
      <c r="I1" s="19"/>
      <c r="L1" s="43" t="s">
        <v>2</v>
      </c>
      <c r="M1" s="23"/>
      <c r="N1" s="23"/>
      <c r="O1" s="23"/>
      <c r="P1" s="23"/>
      <c r="Q1" s="23"/>
      <c r="R1" s="23"/>
      <c r="U1" s="4" t="s">
        <v>3</v>
      </c>
      <c r="V1" s="5"/>
      <c r="W1" s="5"/>
      <c r="X1" s="5"/>
      <c r="AD1" s="7" t="s">
        <v>10</v>
      </c>
      <c r="AE1" s="8"/>
      <c r="AF1" s="8"/>
      <c r="AG1" s="8"/>
      <c r="AM1" s="10" t="s">
        <v>11</v>
      </c>
      <c r="AN1" s="11"/>
      <c r="AO1" s="11"/>
      <c r="AP1" s="11"/>
      <c r="AV1" s="12" t="s">
        <v>12</v>
      </c>
      <c r="AW1" s="13"/>
      <c r="AX1" s="13"/>
      <c r="AY1" s="13"/>
      <c r="AZ1" s="2"/>
      <c r="BA1" s="2"/>
      <c r="BB1" s="2"/>
      <c r="BE1" s="12" t="s">
        <v>13</v>
      </c>
      <c r="BF1" s="13"/>
      <c r="BG1" s="13"/>
      <c r="BH1" s="13"/>
      <c r="BI1" s="2"/>
      <c r="BJ1" s="2"/>
      <c r="BN1" s="14" t="s">
        <v>14</v>
      </c>
      <c r="BO1" s="15"/>
      <c r="BP1" s="15"/>
      <c r="BQ1" s="15"/>
      <c r="BR1" s="16"/>
      <c r="BS1" s="16"/>
      <c r="BT1" s="16"/>
      <c r="CM1" s="2"/>
      <c r="CN1" s="2"/>
      <c r="CO1" s="2"/>
      <c r="CP1" s="2"/>
      <c r="DZ1" s="9">
        <v>6.3</v>
      </c>
      <c r="EA1" s="9">
        <v>9</v>
      </c>
      <c r="EB1" s="9">
        <v>16.5</v>
      </c>
      <c r="EC1" s="9">
        <v>18.100000000000001</v>
      </c>
      <c r="ED1" s="9">
        <v>27.8</v>
      </c>
      <c r="EE1" s="9">
        <v>38.9</v>
      </c>
      <c r="EF1" s="9">
        <v>44.7</v>
      </c>
    </row>
    <row r="2" spans="2:136">
      <c r="B2" s="9" t="s">
        <v>15</v>
      </c>
      <c r="C2" s="9">
        <v>6.3</v>
      </c>
      <c r="D2" s="9">
        <v>9.6999999999999993</v>
      </c>
      <c r="E2" s="9">
        <v>16.600000000000001</v>
      </c>
      <c r="F2" s="9">
        <v>18.3</v>
      </c>
      <c r="G2" s="9">
        <v>27.8</v>
      </c>
      <c r="H2" s="9">
        <v>38.9</v>
      </c>
      <c r="I2" s="9">
        <v>44.7</v>
      </c>
      <c r="K2" s="9" t="s">
        <v>15</v>
      </c>
      <c r="L2" s="9">
        <v>6.3</v>
      </c>
      <c r="M2" s="9">
        <v>9.6999999999999993</v>
      </c>
      <c r="N2" s="9">
        <v>16.600000000000001</v>
      </c>
      <c r="O2" s="9">
        <v>18.3</v>
      </c>
      <c r="P2" s="9">
        <v>27.8</v>
      </c>
      <c r="Q2" s="9">
        <v>38.9</v>
      </c>
      <c r="R2" s="9">
        <v>44.7</v>
      </c>
      <c r="T2" s="9" t="s">
        <v>15</v>
      </c>
      <c r="U2" s="9">
        <v>6.3</v>
      </c>
      <c r="V2" s="9">
        <v>9.6999999999999993</v>
      </c>
      <c r="W2" s="9">
        <v>16.600000000000001</v>
      </c>
      <c r="X2" s="9">
        <v>18.3</v>
      </c>
      <c r="Y2" s="9">
        <v>27.8</v>
      </c>
      <c r="Z2" s="9">
        <v>38.9</v>
      </c>
      <c r="AA2" s="9">
        <v>44.7</v>
      </c>
      <c r="AD2" t="s">
        <v>92</v>
      </c>
      <c r="AE2" t="s">
        <v>93</v>
      </c>
      <c r="AF2" t="s">
        <v>94</v>
      </c>
      <c r="AG2" t="s">
        <v>95</v>
      </c>
      <c r="AH2" t="s">
        <v>96</v>
      </c>
      <c r="AI2" t="s">
        <v>97</v>
      </c>
      <c r="AJ2" t="s">
        <v>98</v>
      </c>
      <c r="AL2" s="9" t="s">
        <v>15</v>
      </c>
      <c r="AM2" s="9">
        <v>6.3</v>
      </c>
      <c r="AN2" s="9">
        <v>9.6999999999999993</v>
      </c>
      <c r="AO2" s="9">
        <v>16.600000000000001</v>
      </c>
      <c r="AP2" s="9">
        <v>18.3</v>
      </c>
      <c r="AQ2" s="9">
        <v>27.8</v>
      </c>
      <c r="AR2" s="9">
        <v>38.9</v>
      </c>
      <c r="AS2" s="9">
        <v>44.7</v>
      </c>
      <c r="AU2" t="s">
        <v>0</v>
      </c>
      <c r="AV2" s="9">
        <v>6.3</v>
      </c>
      <c r="AW2" s="9">
        <v>9.6999999999999993</v>
      </c>
      <c r="AX2" s="9">
        <v>16.600000000000001</v>
      </c>
      <c r="AY2" s="9">
        <v>18.3</v>
      </c>
      <c r="AZ2" s="9">
        <v>27.8</v>
      </c>
      <c r="BA2" s="9">
        <v>38.9</v>
      </c>
      <c r="BB2" s="9">
        <v>44.7</v>
      </c>
      <c r="BE2" s="9">
        <v>6.3</v>
      </c>
      <c r="BF2" s="9">
        <v>9</v>
      </c>
      <c r="BG2" s="9">
        <v>16.600000000000001</v>
      </c>
      <c r="BH2" s="9">
        <v>18.100000000000001</v>
      </c>
      <c r="BI2" s="9">
        <v>27.8</v>
      </c>
      <c r="BJ2" s="9">
        <v>38.9</v>
      </c>
      <c r="BK2" s="9">
        <v>44.7</v>
      </c>
      <c r="BN2" t="s">
        <v>92</v>
      </c>
      <c r="BO2" t="s">
        <v>93</v>
      </c>
      <c r="BP2" t="s">
        <v>94</v>
      </c>
      <c r="BQ2" t="s">
        <v>95</v>
      </c>
      <c r="BR2" t="s">
        <v>96</v>
      </c>
      <c r="BS2" t="s">
        <v>97</v>
      </c>
      <c r="BT2" t="s">
        <v>98</v>
      </c>
    </row>
    <row r="3" spans="2:136">
      <c r="C3" t="s">
        <v>22</v>
      </c>
      <c r="D3" t="s">
        <v>34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L3" t="s">
        <v>22</v>
      </c>
      <c r="M3" t="s">
        <v>34</v>
      </c>
      <c r="N3" t="s">
        <v>50</v>
      </c>
      <c r="O3" t="s">
        <v>51</v>
      </c>
      <c r="P3" t="s">
        <v>99</v>
      </c>
      <c r="Q3" t="s">
        <v>53</v>
      </c>
      <c r="R3" t="s">
        <v>100</v>
      </c>
      <c r="U3" t="s">
        <v>88</v>
      </c>
      <c r="V3" t="s">
        <v>4</v>
      </c>
      <c r="W3" t="s">
        <v>5</v>
      </c>
      <c r="X3" t="s">
        <v>6</v>
      </c>
      <c r="Y3" t="s">
        <v>7</v>
      </c>
      <c r="Z3" t="s">
        <v>8</v>
      </c>
      <c r="AA3" t="s">
        <v>9</v>
      </c>
      <c r="AD3" t="s">
        <v>88</v>
      </c>
      <c r="AE3" t="s">
        <v>4</v>
      </c>
      <c r="AF3" t="s">
        <v>5</v>
      </c>
      <c r="AG3" t="s">
        <v>6</v>
      </c>
      <c r="AH3" t="s">
        <v>7</v>
      </c>
      <c r="AI3" t="s">
        <v>8</v>
      </c>
      <c r="AJ3" t="s">
        <v>9</v>
      </c>
      <c r="AM3" t="s">
        <v>88</v>
      </c>
      <c r="AN3" t="s">
        <v>4</v>
      </c>
      <c r="AO3" t="s">
        <v>5</v>
      </c>
      <c r="AP3" t="s">
        <v>6</v>
      </c>
      <c r="AQ3" t="s">
        <v>7</v>
      </c>
      <c r="AR3" t="s">
        <v>8</v>
      </c>
      <c r="AS3" t="s">
        <v>9</v>
      </c>
      <c r="AV3" t="s">
        <v>22</v>
      </c>
      <c r="AW3" t="s">
        <v>34</v>
      </c>
      <c r="AX3" t="s">
        <v>50</v>
      </c>
      <c r="AY3" t="s">
        <v>51</v>
      </c>
      <c r="AZ3" t="s">
        <v>52</v>
      </c>
      <c r="BA3" t="s">
        <v>53</v>
      </c>
      <c r="BB3" t="s">
        <v>54</v>
      </c>
      <c r="BE3" t="s">
        <v>22</v>
      </c>
      <c r="BF3" t="s">
        <v>34</v>
      </c>
      <c r="BG3" t="s">
        <v>50</v>
      </c>
      <c r="BH3" t="s">
        <v>51</v>
      </c>
      <c r="BI3" t="s">
        <v>52</v>
      </c>
      <c r="BJ3" t="s">
        <v>53</v>
      </c>
      <c r="BK3" t="s">
        <v>54</v>
      </c>
    </row>
    <row r="4" spans="2:136">
      <c r="B4" t="s">
        <v>41</v>
      </c>
      <c r="C4">
        <v>1</v>
      </c>
      <c r="D4">
        <v>0.5</v>
      </c>
      <c r="E4">
        <v>0.5</v>
      </c>
      <c r="F4">
        <v>0.23</v>
      </c>
      <c r="G4">
        <v>0.15</v>
      </c>
      <c r="H4">
        <v>0.1</v>
      </c>
      <c r="I4">
        <v>0.1</v>
      </c>
      <c r="K4" t="s">
        <v>41</v>
      </c>
      <c r="L4">
        <v>1</v>
      </c>
      <c r="M4">
        <v>0.5</v>
      </c>
      <c r="N4">
        <v>0.5</v>
      </c>
      <c r="O4">
        <v>0.23</v>
      </c>
      <c r="P4">
        <v>0.15</v>
      </c>
      <c r="Q4">
        <v>0.1</v>
      </c>
      <c r="R4">
        <v>0.1</v>
      </c>
      <c r="T4" t="s">
        <v>41</v>
      </c>
      <c r="U4">
        <v>1</v>
      </c>
      <c r="V4">
        <v>0.5</v>
      </c>
      <c r="W4">
        <v>0.5</v>
      </c>
      <c r="X4">
        <v>0.23</v>
      </c>
      <c r="Y4">
        <v>0.14000000000000001</v>
      </c>
      <c r="Z4">
        <v>0.1</v>
      </c>
      <c r="AA4">
        <v>0.1</v>
      </c>
      <c r="AC4" t="s">
        <v>41</v>
      </c>
      <c r="AD4">
        <v>1</v>
      </c>
      <c r="AE4">
        <v>0.5</v>
      </c>
      <c r="AF4">
        <v>0.5</v>
      </c>
      <c r="AG4">
        <v>0.23</v>
      </c>
      <c r="AH4">
        <v>0.15</v>
      </c>
      <c r="AI4">
        <v>0.1</v>
      </c>
      <c r="AJ4">
        <v>0.1</v>
      </c>
      <c r="AL4" t="s">
        <v>41</v>
      </c>
      <c r="AM4">
        <v>1</v>
      </c>
      <c r="AN4">
        <v>0.5</v>
      </c>
      <c r="AO4">
        <v>0.5</v>
      </c>
      <c r="AP4">
        <v>0.23</v>
      </c>
      <c r="AQ4">
        <v>0.15</v>
      </c>
      <c r="AR4">
        <v>0.1</v>
      </c>
      <c r="AS4">
        <v>0.1</v>
      </c>
      <c r="AU4" t="s">
        <v>41</v>
      </c>
      <c r="AV4">
        <v>1</v>
      </c>
      <c r="AW4">
        <v>0.5</v>
      </c>
      <c r="AX4">
        <v>0.5</v>
      </c>
      <c r="AY4">
        <v>0.23</v>
      </c>
      <c r="AZ4">
        <v>0.15</v>
      </c>
      <c r="BA4">
        <v>0.1</v>
      </c>
      <c r="BB4">
        <v>0.1</v>
      </c>
      <c r="BD4" t="s">
        <v>41</v>
      </c>
      <c r="BF4">
        <v>0.5</v>
      </c>
      <c r="BG4">
        <v>0.5</v>
      </c>
      <c r="BH4">
        <v>0.23</v>
      </c>
      <c r="BI4">
        <v>0.15</v>
      </c>
      <c r="BJ4">
        <v>0.1</v>
      </c>
      <c r="BK4">
        <v>0.1</v>
      </c>
      <c r="BM4" t="s">
        <v>41</v>
      </c>
      <c r="BN4">
        <v>1</v>
      </c>
      <c r="BO4">
        <v>0.5</v>
      </c>
      <c r="BP4">
        <v>0.5</v>
      </c>
      <c r="BQ4">
        <v>0.23</v>
      </c>
      <c r="BR4">
        <v>0.15</v>
      </c>
      <c r="BS4">
        <v>0.1</v>
      </c>
      <c r="BT4">
        <v>0.1</v>
      </c>
    </row>
    <row r="5" spans="2:136">
      <c r="B5">
        <v>300</v>
      </c>
      <c r="C5" s="19">
        <v>0.78328981723237234</v>
      </c>
      <c r="D5" s="19">
        <v>1.013837511987937</v>
      </c>
      <c r="E5" s="20">
        <v>1.2345679012345794</v>
      </c>
      <c r="F5" s="19">
        <v>0</v>
      </c>
      <c r="G5" s="19">
        <v>0</v>
      </c>
      <c r="H5" s="19">
        <v>0</v>
      </c>
      <c r="I5" s="19">
        <v>0</v>
      </c>
      <c r="K5">
        <v>300</v>
      </c>
      <c r="L5" s="23">
        <f t="shared" ref="L5:P5" si="0">(C5/100)*3.5</f>
        <v>2.7415143603133029E-2</v>
      </c>
      <c r="M5" s="23">
        <f t="shared" si="0"/>
        <v>3.5484312919577793E-2</v>
      </c>
      <c r="N5" s="23">
        <f t="shared" si="0"/>
        <v>4.3209876543210284E-2</v>
      </c>
      <c r="O5" s="23">
        <f t="shared" si="0"/>
        <v>0</v>
      </c>
      <c r="P5" s="23">
        <f t="shared" si="0"/>
        <v>0</v>
      </c>
      <c r="Q5" s="23">
        <f t="shared" ref="Q5:R13" si="1">(H5/100)*3.5</f>
        <v>0</v>
      </c>
      <c r="R5" s="23">
        <f t="shared" si="1"/>
        <v>0</v>
      </c>
      <c r="T5">
        <v>300</v>
      </c>
      <c r="U5" s="24">
        <f>L5/0.04</f>
        <v>0.68537859007832569</v>
      </c>
      <c r="V5" s="24">
        <f>M5/0.0405</f>
        <v>0.87615587455747634</v>
      </c>
      <c r="W5" s="24">
        <f t="shared" ref="W5:W13" si="2">N5/0.072</f>
        <v>0.60013717421125401</v>
      </c>
      <c r="X5" s="24">
        <f>O5/0.0564</f>
        <v>0</v>
      </c>
      <c r="Y5" s="24">
        <f>P5/0.051</f>
        <v>0</v>
      </c>
      <c r="Z5" s="24">
        <f>Q5/0.056</f>
        <v>0</v>
      </c>
      <c r="AA5" s="24">
        <f>R5/0.063</f>
        <v>0</v>
      </c>
      <c r="AC5">
        <v>300</v>
      </c>
      <c r="AD5" s="8">
        <f>U5/184</f>
        <v>3.7248836417300311E-3</v>
      </c>
      <c r="AE5" s="8">
        <f>V5/119.5</f>
        <v>7.3318483226567062E-3</v>
      </c>
      <c r="AF5" s="8">
        <f>W5/69.8</f>
        <v>8.5979537852615192E-3</v>
      </c>
      <c r="AG5" s="8">
        <v>0</v>
      </c>
      <c r="AH5" s="8">
        <f>Y5/41.7</f>
        <v>0</v>
      </c>
      <c r="AI5" s="8">
        <f>Z5/29.8</f>
        <v>0</v>
      </c>
      <c r="AJ5" s="8">
        <f>AA5/25.9</f>
        <v>0</v>
      </c>
      <c r="AL5">
        <v>300</v>
      </c>
      <c r="AM5" s="24"/>
      <c r="AN5" s="24"/>
      <c r="AO5" s="24"/>
      <c r="AP5" s="24"/>
      <c r="AQ5" s="24"/>
      <c r="AR5" s="24"/>
      <c r="AS5" s="24"/>
      <c r="AU5">
        <v>300</v>
      </c>
      <c r="AV5" s="19">
        <f t="shared" ref="AV5:AV13" si="3">((AM5/100)*(C5/100))*3.5</f>
        <v>0</v>
      </c>
      <c r="AW5" s="19">
        <f t="shared" ref="AW5:AW13" si="4">((AN5/100)*(D5/100))*3.5</f>
        <v>0</v>
      </c>
      <c r="AX5" s="19">
        <f t="shared" ref="AX5:AX13" si="5">((AO5/100)*(E5/100))*3.5</f>
        <v>0</v>
      </c>
      <c r="AY5" s="19">
        <f t="shared" ref="AY5:AY13" si="6">((AP5/100)*(F5/100))*3.5</f>
        <v>0</v>
      </c>
      <c r="AZ5" s="19">
        <f t="shared" ref="AZ5:AZ13" si="7">((AQ5/100)*(G5/100))*3.5</f>
        <v>0</v>
      </c>
      <c r="BA5" s="19">
        <f t="shared" ref="BA5:BA13" si="8">((AR5/100)*(H5/100))*3.5</f>
        <v>0</v>
      </c>
      <c r="BB5" s="19">
        <f t="shared" ref="BB5:BB13" si="9">((AS5/100)*(I5/100))*3.5</f>
        <v>0</v>
      </c>
      <c r="BD5">
        <v>300</v>
      </c>
      <c r="BE5" s="19">
        <f>AV5/0.04</f>
        <v>0</v>
      </c>
      <c r="BF5" s="19">
        <f>AW5/0.0405</f>
        <v>0</v>
      </c>
      <c r="BG5" s="19">
        <f>AX5/0.072</f>
        <v>0</v>
      </c>
      <c r="BH5" s="19">
        <f>AY5/0.0564</f>
        <v>0</v>
      </c>
      <c r="BI5" s="19">
        <f>AZ5/0.051</f>
        <v>0</v>
      </c>
      <c r="BJ5" s="19">
        <f>BA5/0.042</f>
        <v>0</v>
      </c>
      <c r="BK5" s="19">
        <f>BB5/0.042</f>
        <v>0</v>
      </c>
      <c r="BM5">
        <v>300</v>
      </c>
      <c r="BN5" s="27">
        <f>BE5/184</f>
        <v>0</v>
      </c>
      <c r="BO5" s="27">
        <f>BF5/119.5</f>
        <v>0</v>
      </c>
      <c r="BP5" s="27">
        <f>BG5/69.8</f>
        <v>0</v>
      </c>
      <c r="BQ5" s="27">
        <f>BH5/63.4</f>
        <v>0</v>
      </c>
      <c r="BR5" s="27">
        <f>BI5/41.7</f>
        <v>0</v>
      </c>
      <c r="BS5" s="27">
        <f>BJ5/29.8</f>
        <v>0</v>
      </c>
      <c r="BT5" s="27">
        <f>BK5/25.9</f>
        <v>0</v>
      </c>
    </row>
    <row r="6" spans="2:136">
      <c r="B6">
        <v>325</v>
      </c>
      <c r="C6" s="19">
        <v>5.1348999129677964</v>
      </c>
      <c r="D6" s="19">
        <v>2.2222222222222334</v>
      </c>
      <c r="E6" s="20">
        <v>2.7191748710736143</v>
      </c>
      <c r="F6" s="19">
        <v>3.5212626461089562</v>
      </c>
      <c r="G6" s="19">
        <v>1.7730496453900741</v>
      </c>
      <c r="H6" s="19">
        <v>1.0416666666666572</v>
      </c>
      <c r="I6" s="19">
        <v>0</v>
      </c>
      <c r="K6">
        <v>325</v>
      </c>
      <c r="L6" s="23">
        <f t="shared" ref="L6:P6" si="10">(C6/100)*3.5</f>
        <v>0.17972149695387288</v>
      </c>
      <c r="M6" s="23">
        <f t="shared" si="10"/>
        <v>7.7777777777778168E-2</v>
      </c>
      <c r="N6" s="23">
        <f t="shared" si="10"/>
        <v>9.5171120487576491E-2</v>
      </c>
      <c r="O6" s="23">
        <f t="shared" si="10"/>
        <v>0.12324419261381346</v>
      </c>
      <c r="P6" s="23">
        <f t="shared" si="10"/>
        <v>6.20567375886526E-2</v>
      </c>
      <c r="Q6" s="23">
        <f t="shared" si="1"/>
        <v>3.6458333333333003E-2</v>
      </c>
      <c r="R6" s="23">
        <f t="shared" si="1"/>
        <v>0</v>
      </c>
      <c r="T6">
        <v>325</v>
      </c>
      <c r="U6" s="24">
        <f>L6/0.04</f>
        <v>4.4930374238468218</v>
      </c>
      <c r="V6" s="24">
        <f t="shared" ref="V6:V12" si="11">M6/0.0405</f>
        <v>1.9204389574760041</v>
      </c>
      <c r="W6" s="24">
        <f t="shared" si="2"/>
        <v>1.3218211178830068</v>
      </c>
      <c r="X6" s="24">
        <f t="shared" ref="X6:X13" si="12">O6/0.0564</f>
        <v>2.1851807201030757</v>
      </c>
      <c r="Y6" s="24">
        <f t="shared" ref="Y6:Y13" si="13">P6/0.051</f>
        <v>1.2167987762480903</v>
      </c>
      <c r="Z6" s="24">
        <f t="shared" ref="Z6:Z13" si="14">Q6/0.056</f>
        <v>0.65104166666666075</v>
      </c>
      <c r="AA6" s="24">
        <f t="shared" ref="AA6:AA13" si="15">R6/0.063</f>
        <v>0</v>
      </c>
      <c r="AC6">
        <v>325</v>
      </c>
      <c r="AD6" s="8">
        <f t="shared" ref="AD6:AD13" si="16">U6/184</f>
        <v>2.4418681651341423E-2</v>
      </c>
      <c r="AE6" s="8">
        <f t="shared" ref="AE6:AE13" si="17">V6/119.5</f>
        <v>1.6070618891012588E-2</v>
      </c>
      <c r="AF6" s="8">
        <f t="shared" ref="AF6:AF13" si="18">W6/69.8</f>
        <v>1.8937265299183478E-2</v>
      </c>
      <c r="AG6" s="8">
        <f>X6/63.4</f>
        <v>3.4466572872288263E-2</v>
      </c>
      <c r="AH6" s="8">
        <f t="shared" ref="AH6:AH13" si="19">Y6/41.7</f>
        <v>2.9179826768539335E-2</v>
      </c>
      <c r="AI6" s="8">
        <f t="shared" ref="AI6:AI13" si="20">Z6/29.8</f>
        <v>2.1847035794183248E-2</v>
      </c>
      <c r="AJ6" s="8">
        <f t="shared" ref="AJ6:AJ13" si="21">AA6/25.9</f>
        <v>0</v>
      </c>
      <c r="AL6">
        <v>325</v>
      </c>
      <c r="AM6" s="24">
        <v>21.779730197163623</v>
      </c>
      <c r="AN6" s="24">
        <v>38.775510204081378</v>
      </c>
      <c r="AO6" s="24">
        <v>22.441518838304489</v>
      </c>
      <c r="AP6" s="24">
        <v>8.4841391317256925</v>
      </c>
      <c r="AQ6" s="24">
        <v>6.2826530612244618</v>
      </c>
      <c r="AR6" s="24">
        <v>8.8163265306124092</v>
      </c>
      <c r="AS6" s="24"/>
      <c r="AU6">
        <v>325</v>
      </c>
      <c r="AV6" s="19">
        <f t="shared" si="3"/>
        <v>3.9142857142857153E-2</v>
      </c>
      <c r="AW6" s="19">
        <f t="shared" si="4"/>
        <v>3.0158730158730107E-2</v>
      </c>
      <c r="AX6" s="19">
        <f t="shared" si="5"/>
        <v>2.1357844932844941E-2</v>
      </c>
      <c r="AY6" s="19">
        <f t="shared" si="6"/>
        <v>1.0456208773127933E-2</v>
      </c>
      <c r="AZ6" s="19">
        <f t="shared" si="7"/>
        <v>3.898809523809514E-3</v>
      </c>
      <c r="BA6" s="19">
        <f t="shared" si="8"/>
        <v>3.214285714285745E-3</v>
      </c>
      <c r="BB6" s="19">
        <f t="shared" si="9"/>
        <v>0</v>
      </c>
      <c r="BD6">
        <v>325</v>
      </c>
      <c r="BE6" s="19">
        <f t="shared" ref="BE6:BE13" si="22">AV6/0.04</f>
        <v>0.97857142857142876</v>
      </c>
      <c r="BF6" s="19">
        <f t="shared" ref="BF6:BF13" si="23">AW6/0.0405</f>
        <v>0.7446600039192619</v>
      </c>
      <c r="BG6" s="19">
        <f t="shared" ref="BG6:BG13" si="24">AX6/0.072</f>
        <v>0.296636735178402</v>
      </c>
      <c r="BH6" s="19">
        <f t="shared" ref="BH6:BH13" si="25">AY6/0.0564</f>
        <v>0.18539377257319031</v>
      </c>
      <c r="BI6" s="19">
        <f t="shared" ref="BI6:BI13" si="26">AZ6/0.051</f>
        <v>7.6447245564892435E-2</v>
      </c>
      <c r="BJ6" s="19">
        <f t="shared" ref="BJ6:BK13" si="27">BA6/0.042</f>
        <v>7.6530612244898683E-2</v>
      </c>
      <c r="BK6" s="19">
        <f t="shared" si="27"/>
        <v>0</v>
      </c>
      <c r="BM6">
        <v>325</v>
      </c>
      <c r="BN6" s="27">
        <f t="shared" ref="BN6:BN13" si="28">BE6/184</f>
        <v>5.3183229813664606E-3</v>
      </c>
      <c r="BO6" s="27">
        <f t="shared" ref="BO6:BO13" si="29">BF6/119.5</f>
        <v>6.2314644679436143E-3</v>
      </c>
      <c r="BP6" s="27">
        <f t="shared" ref="BP6:BP13" si="30">BG6/69.8</f>
        <v>4.2498099595759597E-3</v>
      </c>
      <c r="BQ6" s="27">
        <f t="shared" ref="BQ6:BQ13" si="31">BH6/63.4</f>
        <v>2.9241919964225604E-3</v>
      </c>
      <c r="BR6" s="27">
        <f t="shared" ref="BR6:BR13" si="32">BI6/41.7</f>
        <v>1.8332672797336314E-3</v>
      </c>
      <c r="BS6" s="27">
        <f t="shared" ref="BS6:BS13" si="33">BJ6/29.8</f>
        <v>2.5681413504999558E-3</v>
      </c>
      <c r="BT6" s="27">
        <f t="shared" ref="BT6:BT13" si="34">BK6/25.9</f>
        <v>0</v>
      </c>
    </row>
    <row r="7" spans="2:136">
      <c r="B7">
        <v>350</v>
      </c>
      <c r="C7" s="19">
        <v>10.139251523063528</v>
      </c>
      <c r="D7" s="19">
        <v>5.5555555555555616</v>
      </c>
      <c r="E7" s="20">
        <v>4.5944678856071306</v>
      </c>
      <c r="F7" s="19">
        <v>5.3991942734353033</v>
      </c>
      <c r="G7" s="19">
        <v>3.3096926713947945</v>
      </c>
      <c r="H7" s="19">
        <v>0.69444444444442865</v>
      </c>
      <c r="I7" s="19">
        <v>2.0737327188940142</v>
      </c>
      <c r="K7">
        <v>350</v>
      </c>
      <c r="L7" s="23">
        <f t="shared" ref="L7:P7" si="35">(C7/100)*3.5</f>
        <v>0.35487380330722346</v>
      </c>
      <c r="M7" s="23">
        <f t="shared" si="35"/>
        <v>0.19444444444444464</v>
      </c>
      <c r="N7" s="23">
        <f t="shared" si="35"/>
        <v>0.16080637599624958</v>
      </c>
      <c r="O7" s="23">
        <f t="shared" si="35"/>
        <v>0.1889717995702356</v>
      </c>
      <c r="P7" s="23">
        <f t="shared" si="35"/>
        <v>0.11583924349881781</v>
      </c>
      <c r="Q7" s="23">
        <f t="shared" si="1"/>
        <v>2.4305555555555001E-2</v>
      </c>
      <c r="R7" s="23">
        <f t="shared" si="1"/>
        <v>7.2580645161290494E-2</v>
      </c>
      <c r="T7">
        <v>350</v>
      </c>
      <c r="U7" s="24">
        <f t="shared" ref="U7:U13" si="36">L7/0.04</f>
        <v>8.8718450826805864</v>
      </c>
      <c r="V7" s="24">
        <f t="shared" si="11"/>
        <v>4.8010973936899912</v>
      </c>
      <c r="W7" s="24">
        <f t="shared" si="2"/>
        <v>2.2334218888368</v>
      </c>
      <c r="X7" s="24">
        <f t="shared" si="12"/>
        <v>3.350563822167298</v>
      </c>
      <c r="Y7" s="24">
        <f t="shared" si="13"/>
        <v>2.2713577156630946</v>
      </c>
      <c r="Z7" s="24">
        <f t="shared" si="14"/>
        <v>0.43402777777776785</v>
      </c>
      <c r="AA7" s="24">
        <f t="shared" si="15"/>
        <v>1.1520737327188968</v>
      </c>
      <c r="AC7">
        <v>350</v>
      </c>
      <c r="AD7" s="8">
        <f t="shared" si="16"/>
        <v>4.8216549362394494E-2</v>
      </c>
      <c r="AE7" s="8">
        <f t="shared" si="17"/>
        <v>4.0176547227531306E-2</v>
      </c>
      <c r="AF7" s="8">
        <f t="shared" si="18"/>
        <v>3.1997448264137536E-2</v>
      </c>
      <c r="AG7" s="8">
        <f t="shared" ref="AG7:AG13" si="37">X7/63.4</f>
        <v>5.2848009813364322E-2</v>
      </c>
      <c r="AH7" s="8">
        <f t="shared" si="19"/>
        <v>5.4469009967939915E-2</v>
      </c>
      <c r="AI7" s="8">
        <f t="shared" si="20"/>
        <v>1.4564690529455297E-2</v>
      </c>
      <c r="AJ7" s="8">
        <f t="shared" si="21"/>
        <v>4.4481611301887908E-2</v>
      </c>
      <c r="AL7">
        <v>350</v>
      </c>
      <c r="AM7" s="24">
        <v>26.612395308070226</v>
      </c>
      <c r="AN7" s="24">
        <v>38.21480107194386</v>
      </c>
      <c r="AO7" s="24">
        <v>39.877501244400172</v>
      </c>
      <c r="AP7" s="24">
        <v>25.472304970378048</v>
      </c>
      <c r="AQ7" s="24">
        <v>14.771428571428592</v>
      </c>
      <c r="AR7" s="24">
        <v>32.740136054422294</v>
      </c>
      <c r="AS7" s="24">
        <v>40.504489795918268</v>
      </c>
      <c r="AU7">
        <v>350</v>
      </c>
      <c r="AV7" s="19">
        <f t="shared" si="3"/>
        <v>9.4440419380901905E-2</v>
      </c>
      <c r="AW7" s="19">
        <f t="shared" si="4"/>
        <v>7.4306557639890913E-2</v>
      </c>
      <c r="AX7" s="19">
        <f t="shared" si="5"/>
        <v>6.412556458897925E-2</v>
      </c>
      <c r="AY7" s="19">
        <f t="shared" si="6"/>
        <v>4.8135473094541963E-2</v>
      </c>
      <c r="AZ7" s="19">
        <f t="shared" si="7"/>
        <v>1.7111111111111112E-2</v>
      </c>
      <c r="BA7" s="19">
        <f t="shared" si="8"/>
        <v>7.9576719576719031E-3</v>
      </c>
      <c r="BB7" s="19">
        <f t="shared" si="9"/>
        <v>2.9398420013166553E-2</v>
      </c>
      <c r="BD7">
        <v>350</v>
      </c>
      <c r="BE7" s="19">
        <f t="shared" si="22"/>
        <v>2.3610104845225477</v>
      </c>
      <c r="BF7" s="19">
        <f t="shared" si="23"/>
        <v>1.8347298182689113</v>
      </c>
      <c r="BG7" s="19">
        <f t="shared" si="24"/>
        <v>0.89063284151360078</v>
      </c>
      <c r="BH7" s="19">
        <f t="shared" si="25"/>
        <v>0.85346583500960926</v>
      </c>
      <c r="BI7" s="19">
        <f t="shared" si="26"/>
        <v>0.33551198257080611</v>
      </c>
      <c r="BJ7" s="19">
        <f t="shared" si="27"/>
        <v>0.18946837994456911</v>
      </c>
      <c r="BK7" s="19">
        <f t="shared" si="27"/>
        <v>0.69996238126587029</v>
      </c>
      <c r="BM7">
        <v>350</v>
      </c>
      <c r="BN7" s="27">
        <f t="shared" si="28"/>
        <v>1.2831578720231237E-2</v>
      </c>
      <c r="BO7" s="27">
        <f t="shared" si="29"/>
        <v>1.5353387600576664E-2</v>
      </c>
      <c r="BP7" s="27">
        <f t="shared" si="30"/>
        <v>1.2759782829707748E-2</v>
      </c>
      <c r="BQ7" s="27">
        <f t="shared" si="31"/>
        <v>1.3461606230435477E-2</v>
      </c>
      <c r="BR7" s="27">
        <f t="shared" si="32"/>
        <v>8.0458509009785628E-3</v>
      </c>
      <c r="BS7" s="27">
        <f t="shared" si="33"/>
        <v>6.3579993269989631E-3</v>
      </c>
      <c r="BT7" s="27">
        <f t="shared" si="34"/>
        <v>2.7025574566249821E-2</v>
      </c>
    </row>
    <row r="8" spans="2:136">
      <c r="B8">
        <v>375</v>
      </c>
      <c r="C8" s="19">
        <v>19.06005221932114</v>
      </c>
      <c r="D8" s="19">
        <v>15.11111111111112</v>
      </c>
      <c r="E8" s="20">
        <v>10.923581809657767</v>
      </c>
      <c r="F8" s="19">
        <v>18.309974211303938</v>
      </c>
      <c r="G8" s="19">
        <v>6.9148936170212743</v>
      </c>
      <c r="H8" s="19">
        <v>8.5648148148148238</v>
      </c>
      <c r="I8" s="19">
        <v>3.225806451612911</v>
      </c>
      <c r="K8">
        <v>375</v>
      </c>
      <c r="L8" s="23">
        <f t="shared" ref="L8:P8" si="38">(C8/100)*3.5</f>
        <v>0.66710182767623982</v>
      </c>
      <c r="M8" s="23">
        <f t="shared" si="38"/>
        <v>0.52888888888888919</v>
      </c>
      <c r="N8" s="23">
        <f t="shared" si="38"/>
        <v>0.38232536333802186</v>
      </c>
      <c r="O8" s="23">
        <f t="shared" si="38"/>
        <v>0.64084909739563789</v>
      </c>
      <c r="P8" s="23">
        <f t="shared" si="38"/>
        <v>0.2420212765957446</v>
      </c>
      <c r="Q8" s="23">
        <f t="shared" si="1"/>
        <v>0.29976851851851882</v>
      </c>
      <c r="R8" s="23">
        <f t="shared" si="1"/>
        <v>0.11290322580645187</v>
      </c>
      <c r="T8">
        <v>375</v>
      </c>
      <c r="U8" s="24">
        <f t="shared" si="36"/>
        <v>16.677545691905994</v>
      </c>
      <c r="V8" s="24">
        <f t="shared" si="11"/>
        <v>13.05898491083677</v>
      </c>
      <c r="W8" s="24">
        <f t="shared" si="2"/>
        <v>5.3100744908058592</v>
      </c>
      <c r="X8" s="24">
        <f t="shared" si="12"/>
        <v>11.362572648858828</v>
      </c>
      <c r="Y8" s="24">
        <f t="shared" si="13"/>
        <v>4.7455152273675418</v>
      </c>
      <c r="Z8" s="24">
        <f t="shared" si="14"/>
        <v>5.3530092592592649</v>
      </c>
      <c r="AA8" s="24">
        <f t="shared" si="15"/>
        <v>1.7921146953405058</v>
      </c>
      <c r="AC8">
        <v>375</v>
      </c>
      <c r="AD8" s="8">
        <f t="shared" si="16"/>
        <v>9.0638835282097791E-2</v>
      </c>
      <c r="AE8" s="8">
        <f t="shared" si="17"/>
        <v>0.1092802084588851</v>
      </c>
      <c r="AF8" s="8">
        <f t="shared" si="18"/>
        <v>7.6075565770857584E-2</v>
      </c>
      <c r="AG8" s="8">
        <f t="shared" si="37"/>
        <v>0.17922038878326227</v>
      </c>
      <c r="AH8" s="8">
        <f t="shared" si="19"/>
        <v>0.11380132439730316</v>
      </c>
      <c r="AI8" s="8">
        <f t="shared" si="20"/>
        <v>0.17963118319661961</v>
      </c>
      <c r="AJ8" s="8">
        <f t="shared" si="21"/>
        <v>6.9193617580714517E-2</v>
      </c>
      <c r="AL8">
        <v>375</v>
      </c>
      <c r="AM8" s="24">
        <v>30.000687027848084</v>
      </c>
      <c r="AN8" s="24">
        <v>31.725417439703136</v>
      </c>
      <c r="AO8" s="24">
        <v>60.977339167278778</v>
      </c>
      <c r="AP8" s="24">
        <v>23.049776665768178</v>
      </c>
      <c r="AQ8" s="24">
        <v>32.484353741496605</v>
      </c>
      <c r="AR8" s="24">
        <v>22.9375196232339</v>
      </c>
      <c r="AS8" s="24">
        <v>44.023742454728314</v>
      </c>
      <c r="AU8">
        <v>375</v>
      </c>
      <c r="AV8" s="19">
        <f t="shared" si="3"/>
        <v>0.20013513147820317</v>
      </c>
      <c r="AW8" s="19">
        <f t="shared" si="4"/>
        <v>0.16779220779220777</v>
      </c>
      <c r="AX8" s="19">
        <f t="shared" si="5"/>
        <v>0.23313183352515651</v>
      </c>
      <c r="AY8" s="19">
        <f t="shared" si="6"/>
        <v>0.14771428571428574</v>
      </c>
      <c r="AZ8" s="19">
        <f t="shared" si="7"/>
        <v>7.8619047619047616E-2</v>
      </c>
      <c r="BA8" s="19">
        <f t="shared" si="8"/>
        <v>6.8759462759462806E-2</v>
      </c>
      <c r="BB8" s="19">
        <f t="shared" si="9"/>
        <v>4.9704225352112733E-2</v>
      </c>
      <c r="BD8">
        <v>375</v>
      </c>
      <c r="BE8" s="19">
        <f t="shared" si="22"/>
        <v>5.0033782869550789</v>
      </c>
      <c r="BF8" s="19">
        <f t="shared" si="23"/>
        <v>4.143017476350809</v>
      </c>
      <c r="BG8" s="19">
        <f t="shared" si="24"/>
        <v>3.2379421322938406</v>
      </c>
      <c r="BH8" s="19">
        <f t="shared" si="25"/>
        <v>2.6190476190476195</v>
      </c>
      <c r="BI8" s="19">
        <f t="shared" si="26"/>
        <v>1.5415499533146593</v>
      </c>
      <c r="BJ8" s="19">
        <f t="shared" si="27"/>
        <v>1.6371300657014953</v>
      </c>
      <c r="BK8" s="19">
        <f t="shared" si="27"/>
        <v>1.183433936955065</v>
      </c>
      <c r="BM8">
        <v>375</v>
      </c>
      <c r="BN8" s="27">
        <f t="shared" si="28"/>
        <v>2.7192273298668908E-2</v>
      </c>
      <c r="BO8" s="27">
        <f t="shared" si="29"/>
        <v>3.466960231255907E-2</v>
      </c>
      <c r="BP8" s="27">
        <f t="shared" si="30"/>
        <v>4.6388855763522072E-2</v>
      </c>
      <c r="BQ8" s="27">
        <f t="shared" si="31"/>
        <v>4.1309899354063401E-2</v>
      </c>
      <c r="BR8" s="27">
        <f t="shared" si="32"/>
        <v>3.6967624779728037E-2</v>
      </c>
      <c r="BS8" s="27">
        <f t="shared" si="33"/>
        <v>5.4937250526895812E-2</v>
      </c>
      <c r="BT8" s="27">
        <f t="shared" si="34"/>
        <v>4.5692429998265061E-2</v>
      </c>
    </row>
    <row r="9" spans="2:136">
      <c r="B9">
        <v>390</v>
      </c>
      <c r="C9" s="19">
        <v>27.545691906005224</v>
      </c>
      <c r="D9" s="19">
        <v>22.888888888888903</v>
      </c>
      <c r="E9" s="20">
        <v>21.003281762775433</v>
      </c>
      <c r="F9" s="19">
        <v>23.943769093282977</v>
      </c>
      <c r="G9" s="19">
        <v>10.401891252955082</v>
      </c>
      <c r="H9" s="19">
        <v>10.879629629629633</v>
      </c>
      <c r="I9" s="19">
        <v>6.2980030721966216</v>
      </c>
      <c r="K9">
        <v>390</v>
      </c>
      <c r="L9" s="23">
        <f t="shared" ref="L9:M13" si="39">(C9/100)*3.5</f>
        <v>0.96409921671018295</v>
      </c>
      <c r="M9" s="23">
        <f t="shared" si="39"/>
        <v>0.80111111111111155</v>
      </c>
      <c r="N9" s="23">
        <f t="shared" ref="N9:P12" si="40">(E9/100)*3.5</f>
        <v>0.73511486169714013</v>
      </c>
      <c r="O9" s="23">
        <f t="shared" si="40"/>
        <v>0.8380319182649042</v>
      </c>
      <c r="P9" s="23">
        <f t="shared" si="40"/>
        <v>0.36406619385342787</v>
      </c>
      <c r="Q9" s="23">
        <f t="shared" si="1"/>
        <v>0.3807870370370372</v>
      </c>
      <c r="R9" s="23">
        <f t="shared" si="1"/>
        <v>0.22043010752688175</v>
      </c>
      <c r="T9">
        <v>390</v>
      </c>
      <c r="U9" s="24">
        <f t="shared" si="36"/>
        <v>24.102480417754574</v>
      </c>
      <c r="V9" s="24">
        <f t="shared" si="11"/>
        <v>19.780521262002754</v>
      </c>
      <c r="W9" s="24">
        <f t="shared" si="2"/>
        <v>10.209928634682502</v>
      </c>
      <c r="X9" s="24">
        <f t="shared" si="12"/>
        <v>14.858721955051493</v>
      </c>
      <c r="Y9" s="24">
        <f t="shared" si="13"/>
        <v>7.1385528206554492</v>
      </c>
      <c r="Z9" s="24">
        <f t="shared" si="14"/>
        <v>6.7997685185185217</v>
      </c>
      <c r="AA9" s="24">
        <f t="shared" si="15"/>
        <v>3.4988905956647898</v>
      </c>
      <c r="AC9">
        <v>390</v>
      </c>
      <c r="AD9" s="8">
        <f t="shared" si="16"/>
        <v>0.13099174140084008</v>
      </c>
      <c r="AE9" s="8">
        <f t="shared" si="17"/>
        <v>0.16552737457742892</v>
      </c>
      <c r="AF9" s="8">
        <f t="shared" si="18"/>
        <v>0.14627404920748571</v>
      </c>
      <c r="AG9" s="8">
        <f t="shared" si="37"/>
        <v>0.23436469960649042</v>
      </c>
      <c r="AH9" s="8">
        <f t="shared" si="19"/>
        <v>0.17118831704209708</v>
      </c>
      <c r="AI9" s="8">
        <f t="shared" si="20"/>
        <v>0.22818015162813832</v>
      </c>
      <c r="AJ9" s="8">
        <f t="shared" si="21"/>
        <v>0.13509230099091854</v>
      </c>
      <c r="AL9">
        <v>390</v>
      </c>
      <c r="AM9" s="24">
        <v>31.748732286873761</v>
      </c>
      <c r="AN9" s="24">
        <v>34.146115589092766</v>
      </c>
      <c r="AO9" s="24">
        <v>53.696759209479374</v>
      </c>
      <c r="AP9" s="24">
        <v>28.406131569288679</v>
      </c>
      <c r="AQ9" s="24">
        <v>30.947376093294466</v>
      </c>
      <c r="AR9" s="24">
        <v>23.81161695447409</v>
      </c>
      <c r="AS9" s="24">
        <v>51.997882949873144</v>
      </c>
      <c r="AU9">
        <v>390</v>
      </c>
      <c r="AV9" s="19">
        <f t="shared" si="3"/>
        <v>0.30608927929316287</v>
      </c>
      <c r="AW9" s="19">
        <f t="shared" si="4"/>
        <v>0.27354832599706558</v>
      </c>
      <c r="AX9" s="19">
        <f t="shared" si="5"/>
        <v>0.39473285719861068</v>
      </c>
      <c r="AY9" s="19">
        <f t="shared" si="6"/>
        <v>0.23805244929496247</v>
      </c>
      <c r="AZ9" s="19">
        <f t="shared" si="7"/>
        <v>0.11266893424036281</v>
      </c>
      <c r="BA9" s="19">
        <f t="shared" si="8"/>
        <v>9.067155067155068E-2</v>
      </c>
      <c r="BB9" s="19">
        <f t="shared" si="9"/>
        <v>0.11461898929810749</v>
      </c>
      <c r="BD9">
        <v>390</v>
      </c>
      <c r="BE9" s="19">
        <f t="shared" si="22"/>
        <v>7.6522319823290719</v>
      </c>
      <c r="BF9" s="19">
        <f t="shared" si="23"/>
        <v>6.7542796542485322</v>
      </c>
      <c r="BG9" s="19">
        <f t="shared" si="24"/>
        <v>5.4824007944251489</v>
      </c>
      <c r="BH9" s="19">
        <f t="shared" si="25"/>
        <v>4.2207881080667109</v>
      </c>
      <c r="BI9" s="19">
        <f t="shared" si="26"/>
        <v>2.2091947890267218</v>
      </c>
      <c r="BJ9" s="19">
        <f t="shared" si="27"/>
        <v>2.1588464445607305</v>
      </c>
      <c r="BK9" s="19">
        <f t="shared" si="27"/>
        <v>2.7290235547168447</v>
      </c>
      <c r="BM9">
        <v>390</v>
      </c>
      <c r="BN9" s="27">
        <f t="shared" si="28"/>
        <v>4.1588217295266697E-2</v>
      </c>
      <c r="BO9" s="27">
        <f t="shared" si="29"/>
        <v>5.6521168654799434E-2</v>
      </c>
      <c r="BP9" s="27">
        <f t="shared" si="30"/>
        <v>7.8544423988898979E-2</v>
      </c>
      <c r="BQ9" s="27">
        <f t="shared" si="31"/>
        <v>6.6573944922187864E-2</v>
      </c>
      <c r="BR9" s="27">
        <f t="shared" si="32"/>
        <v>5.2978292302799081E-2</v>
      </c>
      <c r="BS9" s="27">
        <f t="shared" si="33"/>
        <v>7.2444511562440625E-2</v>
      </c>
      <c r="BT9" s="27">
        <f t="shared" si="34"/>
        <v>0.10536770481532219</v>
      </c>
    </row>
    <row r="10" spans="2:136">
      <c r="B10">
        <v>400</v>
      </c>
      <c r="C10" s="19">
        <v>34.000580214679424</v>
      </c>
      <c r="D10" s="19">
        <v>31.111111111111114</v>
      </c>
      <c r="E10" s="20">
        <v>29.442100328176281</v>
      </c>
      <c r="F10" s="19">
        <v>27.699632347935673</v>
      </c>
      <c r="G10" s="19">
        <v>13.238770685579192</v>
      </c>
      <c r="H10" s="19">
        <v>11.111111111111105</v>
      </c>
      <c r="I10" s="19">
        <v>9.1141833077317003</v>
      </c>
      <c r="K10">
        <v>400</v>
      </c>
      <c r="L10" s="23">
        <f t="shared" si="39"/>
        <v>1.1900203075137799</v>
      </c>
      <c r="M10" s="23">
        <f t="shared" si="39"/>
        <v>1.088888888888889</v>
      </c>
      <c r="N10" s="23">
        <f t="shared" si="40"/>
        <v>1.0304735114861698</v>
      </c>
      <c r="O10" s="23">
        <f t="shared" si="40"/>
        <v>0.96948713217774851</v>
      </c>
      <c r="P10" s="23">
        <f t="shared" si="40"/>
        <v>0.46335697399527176</v>
      </c>
      <c r="Q10" s="23">
        <f t="shared" si="1"/>
        <v>0.38888888888888867</v>
      </c>
      <c r="R10" s="23">
        <f t="shared" si="1"/>
        <v>0.3189964157706095</v>
      </c>
      <c r="T10">
        <v>400</v>
      </c>
      <c r="U10" s="24">
        <f t="shared" si="36"/>
        <v>29.750507687844497</v>
      </c>
      <c r="V10" s="24">
        <f t="shared" si="11"/>
        <v>26.886145404663925</v>
      </c>
      <c r="W10" s="24">
        <f t="shared" si="2"/>
        <v>14.312132103974582</v>
      </c>
      <c r="X10" s="24">
        <f t="shared" si="12"/>
        <v>17.189488159179938</v>
      </c>
      <c r="Y10" s="24">
        <f t="shared" si="13"/>
        <v>9.0854308626523874</v>
      </c>
      <c r="Z10" s="24">
        <f t="shared" si="14"/>
        <v>6.9444444444444402</v>
      </c>
      <c r="AA10" s="24">
        <f t="shared" si="15"/>
        <v>5.0634351709620553</v>
      </c>
      <c r="AC10">
        <v>400</v>
      </c>
      <c r="AD10" s="8">
        <f t="shared" si="16"/>
        <v>0.16168754178176356</v>
      </c>
      <c r="AE10" s="8">
        <f t="shared" si="17"/>
        <v>0.22498866447417509</v>
      </c>
      <c r="AF10" s="8">
        <f t="shared" si="18"/>
        <v>0.20504487254977913</v>
      </c>
      <c r="AG10" s="8">
        <f t="shared" si="37"/>
        <v>0.27112757348864258</v>
      </c>
      <c r="AH10" s="8">
        <f t="shared" si="19"/>
        <v>0.21787603987175988</v>
      </c>
      <c r="AI10" s="8">
        <f t="shared" si="20"/>
        <v>0.23303504847128995</v>
      </c>
      <c r="AJ10" s="8">
        <f t="shared" si="21"/>
        <v>0.19549942745027241</v>
      </c>
      <c r="AL10">
        <v>400</v>
      </c>
      <c r="AM10" s="24">
        <v>33.857354283451407</v>
      </c>
      <c r="AN10" s="24">
        <v>32.974003662519586</v>
      </c>
      <c r="AO10" s="24">
        <v>53.367741602783383</v>
      </c>
      <c r="AP10" s="24">
        <v>32.620899116336332</v>
      </c>
      <c r="AQ10" s="24">
        <v>30.797789115646271</v>
      </c>
      <c r="AR10" s="24">
        <v>26.396734693877566</v>
      </c>
      <c r="AS10" s="24">
        <v>56.255392156862683</v>
      </c>
      <c r="AU10">
        <v>400</v>
      </c>
      <c r="AV10" s="19">
        <f t="shared" si="3"/>
        <v>0.40290939155995831</v>
      </c>
      <c r="AW10" s="19">
        <f t="shared" si="4"/>
        <v>0.35905026210299107</v>
      </c>
      <c r="AX10" s="19">
        <f t="shared" si="5"/>
        <v>0.54994044089506733</v>
      </c>
      <c r="AY10" s="19">
        <f t="shared" si="6"/>
        <v>0.3162554193335656</v>
      </c>
      <c r="AZ10" s="19">
        <f t="shared" si="7"/>
        <v>0.14270370370370372</v>
      </c>
      <c r="BA10" s="19">
        <f t="shared" si="8"/>
        <v>0.10265396825396826</v>
      </c>
      <c r="BB10" s="19">
        <f t="shared" si="9"/>
        <v>0.17945268465809255</v>
      </c>
      <c r="BD10">
        <v>400</v>
      </c>
      <c r="BE10" s="19">
        <f t="shared" si="22"/>
        <v>10.072734788998957</v>
      </c>
      <c r="BF10" s="19">
        <f t="shared" si="23"/>
        <v>8.8654385704442245</v>
      </c>
      <c r="BG10" s="19">
        <f t="shared" si="24"/>
        <v>7.6380616790981577</v>
      </c>
      <c r="BH10" s="19">
        <f t="shared" si="25"/>
        <v>5.6073655910206668</v>
      </c>
      <c r="BI10" s="19">
        <f t="shared" si="26"/>
        <v>2.7981118373275242</v>
      </c>
      <c r="BJ10" s="19">
        <f t="shared" si="27"/>
        <v>2.4441421012849585</v>
      </c>
      <c r="BK10" s="19">
        <f t="shared" si="27"/>
        <v>4.2726829680498222</v>
      </c>
      <c r="BM10">
        <v>400</v>
      </c>
      <c r="BN10" s="27">
        <f t="shared" si="28"/>
        <v>5.47431238532552E-2</v>
      </c>
      <c r="BO10" s="27">
        <f t="shared" si="29"/>
        <v>7.4187770463968405E-2</v>
      </c>
      <c r="BP10" s="27">
        <f t="shared" si="30"/>
        <v>0.10942781775212261</v>
      </c>
      <c r="BQ10" s="27">
        <f t="shared" si="31"/>
        <v>8.8444252224300746E-2</v>
      </c>
      <c r="BR10" s="27">
        <f t="shared" si="32"/>
        <v>6.7101003293225991E-2</v>
      </c>
      <c r="BS10" s="27">
        <f t="shared" si="33"/>
        <v>8.2018191318287192E-2</v>
      </c>
      <c r="BT10" s="27">
        <f t="shared" si="34"/>
        <v>0.16496845436485802</v>
      </c>
    </row>
    <row r="11" spans="2:136">
      <c r="B11">
        <v>410</v>
      </c>
      <c r="C11" s="19">
        <v>47.345517841601392</v>
      </c>
      <c r="D11" s="19">
        <v>40.200000000000003</v>
      </c>
      <c r="E11" s="20">
        <v>48.335677449601498</v>
      </c>
      <c r="F11" s="19">
        <v>37.863937280839515</v>
      </c>
      <c r="G11" s="19">
        <v>16.07565011820331</v>
      </c>
      <c r="H11" s="19">
        <v>14.583333333333329</v>
      </c>
      <c r="I11" s="19">
        <v>8.602150537634401</v>
      </c>
      <c r="K11">
        <v>410</v>
      </c>
      <c r="L11" s="23">
        <f t="shared" si="39"/>
        <v>1.6570931244560487</v>
      </c>
      <c r="M11" s="23">
        <f t="shared" si="39"/>
        <v>1.407</v>
      </c>
      <c r="N11" s="23">
        <f t="shared" si="40"/>
        <v>1.6917487107360525</v>
      </c>
      <c r="O11" s="23">
        <f t="shared" si="40"/>
        <v>1.3252378048293831</v>
      </c>
      <c r="P11" s="23">
        <f t="shared" si="40"/>
        <v>0.56264775413711587</v>
      </c>
      <c r="Q11" s="23">
        <f t="shared" si="1"/>
        <v>0.51041666666666652</v>
      </c>
      <c r="R11" s="23">
        <f t="shared" si="1"/>
        <v>0.30107526881720403</v>
      </c>
      <c r="T11">
        <v>410</v>
      </c>
      <c r="U11" s="24">
        <f t="shared" si="36"/>
        <v>41.427328111401216</v>
      </c>
      <c r="V11" s="24">
        <f t="shared" si="11"/>
        <v>34.74074074074074</v>
      </c>
      <c r="W11" s="24">
        <f t="shared" si="2"/>
        <v>23.496509871334062</v>
      </c>
      <c r="X11" s="24">
        <f t="shared" si="12"/>
        <v>23.49712419910254</v>
      </c>
      <c r="Y11" s="24">
        <f t="shared" si="13"/>
        <v>11.032308904649332</v>
      </c>
      <c r="Z11" s="24">
        <f t="shared" si="14"/>
        <v>9.1145833333333304</v>
      </c>
      <c r="AA11" s="24">
        <f t="shared" si="15"/>
        <v>4.7789725209080007</v>
      </c>
      <c r="AC11">
        <v>410</v>
      </c>
      <c r="AD11" s="8">
        <f t="shared" si="16"/>
        <v>0.22514852234457183</v>
      </c>
      <c r="AE11" s="8">
        <f t="shared" si="17"/>
        <v>0.29071749573841627</v>
      </c>
      <c r="AF11" s="8">
        <f t="shared" si="18"/>
        <v>0.33662621592169145</v>
      </c>
      <c r="AG11" s="8">
        <f t="shared" si="37"/>
        <v>0.37061710093221673</v>
      </c>
      <c r="AH11" s="8">
        <f t="shared" si="19"/>
        <v>0.26456376270142279</v>
      </c>
      <c r="AI11" s="8">
        <f t="shared" si="20"/>
        <v>0.3058585011185681</v>
      </c>
      <c r="AJ11" s="8">
        <f t="shared" si="21"/>
        <v>0.18451631354857145</v>
      </c>
      <c r="AL11">
        <v>410</v>
      </c>
      <c r="AM11" s="24">
        <v>30.268172023606024</v>
      </c>
      <c r="AN11" s="24">
        <v>33.312893604345966</v>
      </c>
      <c r="AO11" s="24">
        <v>40.829620902706893</v>
      </c>
      <c r="AP11" s="24">
        <v>30.28920965934411</v>
      </c>
      <c r="AQ11" s="24">
        <v>34.872890992145649</v>
      </c>
      <c r="AR11" s="24">
        <v>26.220531721460528</v>
      </c>
      <c r="AS11" s="24">
        <v>67.472448979591903</v>
      </c>
      <c r="AU11">
        <v>410</v>
      </c>
      <c r="AV11" s="19">
        <f t="shared" si="3"/>
        <v>0.50157179750170466</v>
      </c>
      <c r="AW11" s="19">
        <f t="shared" si="4"/>
        <v>0.46871241301314781</v>
      </c>
      <c r="AX11" s="19">
        <f t="shared" si="5"/>
        <v>0.69073458521996156</v>
      </c>
      <c r="AY11" s="19">
        <f t="shared" si="6"/>
        <v>0.40140405718966127</v>
      </c>
      <c r="AZ11" s="19">
        <f t="shared" si="7"/>
        <v>0.19621153796999211</v>
      </c>
      <c r="BA11" s="19">
        <f t="shared" si="8"/>
        <v>0.13383396399495473</v>
      </c>
      <c r="BB11" s="19">
        <f t="shared" si="9"/>
        <v>0.20314285714285715</v>
      </c>
      <c r="BD11">
        <v>410</v>
      </c>
      <c r="BE11" s="19">
        <f t="shared" si="22"/>
        <v>12.539294937542616</v>
      </c>
      <c r="BF11" s="19">
        <f t="shared" si="23"/>
        <v>11.573146000324638</v>
      </c>
      <c r="BG11" s="19">
        <f t="shared" si="24"/>
        <v>9.5935359058328</v>
      </c>
      <c r="BH11" s="19">
        <f t="shared" si="25"/>
        <v>7.1170932125826472</v>
      </c>
      <c r="BI11" s="19">
        <f t="shared" si="26"/>
        <v>3.8472850582351397</v>
      </c>
      <c r="BJ11" s="19">
        <f t="shared" si="27"/>
        <v>3.1865229522608267</v>
      </c>
      <c r="BK11" s="19">
        <f t="shared" si="27"/>
        <v>4.8367346938775508</v>
      </c>
      <c r="BM11">
        <v>410</v>
      </c>
      <c r="BN11" s="27">
        <f t="shared" si="28"/>
        <v>6.8148342051862043E-2</v>
      </c>
      <c r="BO11" s="27">
        <f t="shared" si="29"/>
        <v>9.6846410044557643E-2</v>
      </c>
      <c r="BP11" s="27">
        <f t="shared" si="30"/>
        <v>0.13744320781995417</v>
      </c>
      <c r="BQ11" s="27">
        <f t="shared" si="31"/>
        <v>0.11225699073474207</v>
      </c>
      <c r="BR11" s="27">
        <f t="shared" si="32"/>
        <v>9.2261032571586077E-2</v>
      </c>
      <c r="BS11" s="27">
        <f t="shared" si="33"/>
        <v>0.10693030041143714</v>
      </c>
      <c r="BT11" s="27">
        <f t="shared" si="34"/>
        <v>0.18674651327712552</v>
      </c>
    </row>
    <row r="12" spans="2:136">
      <c r="B12">
        <v>425</v>
      </c>
      <c r="C12" s="20">
        <v>66.05744125326369</v>
      </c>
      <c r="D12" s="19">
        <v>59.5</v>
      </c>
      <c r="E12" s="20">
        <v>71.64205344585092</v>
      </c>
      <c r="F12" s="19">
        <v>54.272364874603461</v>
      </c>
      <c r="G12" s="19">
        <v>25.768321513002363</v>
      </c>
      <c r="H12" s="19">
        <v>27.546296296296291</v>
      </c>
      <c r="I12" s="19">
        <v>18.394777265745009</v>
      </c>
      <c r="K12">
        <v>425</v>
      </c>
      <c r="L12" s="23">
        <f t="shared" si="39"/>
        <v>2.3120104438642293</v>
      </c>
      <c r="M12" s="23">
        <f t="shared" si="39"/>
        <v>2.0825</v>
      </c>
      <c r="N12" s="23">
        <f t="shared" si="40"/>
        <v>2.5074718706047823</v>
      </c>
      <c r="O12" s="23">
        <f t="shared" si="40"/>
        <v>1.8995327706111211</v>
      </c>
      <c r="P12" s="23">
        <f t="shared" si="40"/>
        <v>0.90189125295508266</v>
      </c>
      <c r="Q12" s="23">
        <f t="shared" si="1"/>
        <v>0.96412037037037024</v>
      </c>
      <c r="R12" s="23">
        <f t="shared" si="1"/>
        <v>0.64381720430107536</v>
      </c>
      <c r="T12">
        <v>425</v>
      </c>
      <c r="U12" s="24">
        <f t="shared" si="36"/>
        <v>57.80026109660573</v>
      </c>
      <c r="V12" s="24">
        <f t="shared" si="11"/>
        <v>51.419753086419753</v>
      </c>
      <c r="W12" s="24">
        <f t="shared" si="2"/>
        <v>34.825998202844204</v>
      </c>
      <c r="X12" s="24">
        <f t="shared" si="12"/>
        <v>33.679659053388676</v>
      </c>
      <c r="Y12" s="24">
        <f t="shared" si="13"/>
        <v>17.684142214805544</v>
      </c>
      <c r="Z12" s="24">
        <f t="shared" si="14"/>
        <v>17.216435185185183</v>
      </c>
      <c r="AA12" s="24">
        <f t="shared" si="15"/>
        <v>10.219320703191672</v>
      </c>
      <c r="AC12">
        <v>425</v>
      </c>
      <c r="AD12" s="8">
        <f t="shared" si="16"/>
        <v>0.31413185378590069</v>
      </c>
      <c r="AE12" s="8">
        <f t="shared" si="17"/>
        <v>0.43029082080685987</v>
      </c>
      <c r="AF12" s="8">
        <f t="shared" si="18"/>
        <v>0.49893980233301155</v>
      </c>
      <c r="AG12" s="8">
        <f t="shared" si="37"/>
        <v>0.53122490620486873</v>
      </c>
      <c r="AH12" s="8">
        <f t="shared" si="19"/>
        <v>0.42408014903610414</v>
      </c>
      <c r="AI12" s="8">
        <f t="shared" si="20"/>
        <v>0.57773272433507328</v>
      </c>
      <c r="AJ12" s="8">
        <f t="shared" si="21"/>
        <v>0.39456836691859737</v>
      </c>
      <c r="AL12">
        <v>425</v>
      </c>
      <c r="AM12" s="24">
        <v>24.310744247610113</v>
      </c>
      <c r="AN12" s="24">
        <v>31.98021194394406</v>
      </c>
      <c r="AO12" s="24">
        <v>33.662526843580402</v>
      </c>
      <c r="AP12" s="24">
        <v>29.333306486932511</v>
      </c>
      <c r="AQ12" s="24">
        <v>35.779394063389766</v>
      </c>
      <c r="AR12" s="24">
        <v>20.291616954474101</v>
      </c>
      <c r="AS12" s="24">
        <v>42.611244037845019</v>
      </c>
      <c r="AU12">
        <v>425</v>
      </c>
      <c r="AV12" s="19">
        <f t="shared" si="3"/>
        <v>0.56206694598586815</v>
      </c>
      <c r="AW12" s="19">
        <f t="shared" si="4"/>
        <v>0.665987913732635</v>
      </c>
      <c r="AX12" s="19">
        <f t="shared" si="5"/>
        <v>0.84407839153756248</v>
      </c>
      <c r="AY12" s="19">
        <f t="shared" si="6"/>
        <v>0.5571957694230808</v>
      </c>
      <c r="AZ12" s="19">
        <f t="shared" si="7"/>
        <v>0.32269122541804246</v>
      </c>
      <c r="BA12" s="19">
        <f t="shared" si="8"/>
        <v>0.19563561253561254</v>
      </c>
      <c r="BB12" s="19">
        <f t="shared" si="9"/>
        <v>0.27433852008236248</v>
      </c>
      <c r="BD12">
        <v>425</v>
      </c>
      <c r="BE12" s="19">
        <f t="shared" si="22"/>
        <v>14.051673649646704</v>
      </c>
      <c r="BF12" s="19">
        <f t="shared" si="23"/>
        <v>16.444146018089754</v>
      </c>
      <c r="BG12" s="19">
        <f t="shared" si="24"/>
        <v>11.723310993577257</v>
      </c>
      <c r="BH12" s="19">
        <f t="shared" si="25"/>
        <v>9.8793576138844124</v>
      </c>
      <c r="BI12" s="19">
        <f t="shared" si="26"/>
        <v>6.327278929765539</v>
      </c>
      <c r="BJ12" s="19">
        <f t="shared" si="27"/>
        <v>4.6579907746574412</v>
      </c>
      <c r="BK12" s="19">
        <f t="shared" si="27"/>
        <v>6.531869525770535</v>
      </c>
      <c r="BM12">
        <v>425</v>
      </c>
      <c r="BN12" s="27">
        <f t="shared" si="28"/>
        <v>7.6367791574166871E-2</v>
      </c>
      <c r="BO12" s="27">
        <f t="shared" si="29"/>
        <v>0.13760791646937032</v>
      </c>
      <c r="BP12" s="27">
        <f t="shared" si="30"/>
        <v>0.167955744893657</v>
      </c>
      <c r="BQ12" s="27">
        <f t="shared" si="31"/>
        <v>0.15582582987199389</v>
      </c>
      <c r="BR12" s="27">
        <f t="shared" si="32"/>
        <v>0.15173330766823834</v>
      </c>
      <c r="BS12" s="27">
        <f t="shared" si="33"/>
        <v>0.1563084152569611</v>
      </c>
      <c r="BT12" s="27">
        <f t="shared" si="34"/>
        <v>0.25219573458573497</v>
      </c>
    </row>
    <row r="13" spans="2:136">
      <c r="B13">
        <v>450</v>
      </c>
      <c r="C13" s="19">
        <v>95.735422106179286</v>
      </c>
      <c r="D13" s="19">
        <v>92.25500000000001</v>
      </c>
      <c r="E13" s="20">
        <v>81.293952180028128</v>
      </c>
      <c r="F13" s="19">
        <v>80.14087304102388</v>
      </c>
      <c r="G13" s="19">
        <v>51.347517730496449</v>
      </c>
      <c r="H13" s="19">
        <v>41.562499999999993</v>
      </c>
      <c r="I13" s="19">
        <v>30.337941628264215</v>
      </c>
      <c r="K13">
        <v>450</v>
      </c>
      <c r="L13" s="23">
        <f t="shared" si="39"/>
        <v>3.350739773716275</v>
      </c>
      <c r="M13" s="23">
        <f t="shared" si="39"/>
        <v>3.2289250000000003</v>
      </c>
      <c r="N13" s="23">
        <f>(E13/100)*3.5</f>
        <v>2.8452883263009845</v>
      </c>
      <c r="O13" s="23">
        <f>(F13/100)*3.5</f>
        <v>2.8049305564358358</v>
      </c>
      <c r="P13" s="23">
        <f>(G13/100)*3.5</f>
        <v>1.7971631205673757</v>
      </c>
      <c r="Q13" s="23">
        <f t="shared" si="1"/>
        <v>1.4546874999999997</v>
      </c>
      <c r="R13" s="23">
        <f t="shared" si="1"/>
        <v>1.0618279569892475</v>
      </c>
      <c r="T13">
        <v>450</v>
      </c>
      <c r="U13" s="24">
        <f t="shared" si="36"/>
        <v>83.768494342906877</v>
      </c>
      <c r="V13" s="24">
        <f>M13/0.0405</f>
        <v>79.726543209876553</v>
      </c>
      <c r="W13" s="24">
        <f t="shared" si="2"/>
        <v>39.51789342084701</v>
      </c>
      <c r="X13" s="24">
        <f t="shared" si="12"/>
        <v>49.732811284323333</v>
      </c>
      <c r="Y13" s="24">
        <f t="shared" si="13"/>
        <v>35.238492560144621</v>
      </c>
      <c r="Z13" s="24">
        <f t="shared" si="14"/>
        <v>25.976562499999993</v>
      </c>
      <c r="AA13" s="24">
        <f t="shared" si="15"/>
        <v>16.854412015702341</v>
      </c>
      <c r="AC13">
        <v>450</v>
      </c>
      <c r="AD13" s="8">
        <f t="shared" si="16"/>
        <v>0.45526355621145043</v>
      </c>
      <c r="AE13" s="8">
        <f t="shared" si="17"/>
        <v>0.66716772560566151</v>
      </c>
      <c r="AF13" s="8">
        <f t="shared" si="18"/>
        <v>0.56615893153075947</v>
      </c>
      <c r="AG13" s="8">
        <f t="shared" si="37"/>
        <v>0.78442920006819139</v>
      </c>
      <c r="AH13" s="8">
        <f t="shared" si="19"/>
        <v>0.84504778321689733</v>
      </c>
      <c r="AI13" s="8">
        <f t="shared" si="20"/>
        <v>0.87169672818791921</v>
      </c>
      <c r="AJ13" s="8">
        <f t="shared" si="21"/>
        <v>0.65074949867576604</v>
      </c>
      <c r="AL13">
        <v>450</v>
      </c>
      <c r="AM13" s="24">
        <v>47.921187384044522</v>
      </c>
      <c r="AN13" s="24">
        <v>49.499037300939676</v>
      </c>
      <c r="AO13" s="24">
        <v>46.439703997438983</v>
      </c>
      <c r="AP13" s="24">
        <v>50.999298978883608</v>
      </c>
      <c r="AQ13" s="24">
        <v>32.187549924646532</v>
      </c>
      <c r="AR13" s="24">
        <v>31.248918361947066</v>
      </c>
      <c r="AS13" s="24">
        <v>49.293895802366002</v>
      </c>
      <c r="AU13">
        <v>450</v>
      </c>
      <c r="AV13" s="19">
        <f t="shared" si="3"/>
        <v>1.6057142857142856</v>
      </c>
      <c r="AW13" s="19">
        <f t="shared" si="4"/>
        <v>1.5982867901693667</v>
      </c>
      <c r="AX13" s="19">
        <f t="shared" si="5"/>
        <v>1.3213434766078629</v>
      </c>
      <c r="AY13" s="19">
        <f t="shared" si="6"/>
        <v>1.4304949206267756</v>
      </c>
      <c r="AZ13" s="19">
        <f t="shared" si="7"/>
        <v>0.5784627766599596</v>
      </c>
      <c r="BA13" s="19">
        <f t="shared" si="8"/>
        <v>0.45457410929644859</v>
      </c>
      <c r="BB13" s="19">
        <f t="shared" si="9"/>
        <v>0.52341636671867131</v>
      </c>
      <c r="BD13">
        <v>450</v>
      </c>
      <c r="BE13" s="19">
        <f t="shared" si="22"/>
        <v>40.142857142857139</v>
      </c>
      <c r="BF13" s="19">
        <f t="shared" si="23"/>
        <v>39.463871362206582</v>
      </c>
      <c r="BG13" s="19">
        <f t="shared" si="24"/>
        <v>18.351992730664765</v>
      </c>
      <c r="BH13" s="19">
        <f t="shared" si="25"/>
        <v>25.363385117496023</v>
      </c>
      <c r="BI13" s="19">
        <f t="shared" si="26"/>
        <v>11.342407385489405</v>
      </c>
      <c r="BJ13" s="19">
        <f t="shared" si="27"/>
        <v>10.82319307848687</v>
      </c>
      <c r="BK13" s="19">
        <f t="shared" si="27"/>
        <v>12.46229444568265</v>
      </c>
      <c r="BM13">
        <v>450</v>
      </c>
      <c r="BN13" s="27">
        <f t="shared" si="28"/>
        <v>0.21816770186335402</v>
      </c>
      <c r="BO13" s="27">
        <f t="shared" si="29"/>
        <v>0.33024160135737723</v>
      </c>
      <c r="BP13" s="27">
        <f t="shared" si="30"/>
        <v>0.26292253195794796</v>
      </c>
      <c r="BQ13" s="27">
        <f t="shared" si="31"/>
        <v>0.40005339302044202</v>
      </c>
      <c r="BR13" s="27">
        <f t="shared" si="32"/>
        <v>0.27200017711005764</v>
      </c>
      <c r="BS13" s="27">
        <f t="shared" si="33"/>
        <v>0.36319439860694197</v>
      </c>
      <c r="BT13" s="27">
        <f t="shared" si="34"/>
        <v>0.48116966971747688</v>
      </c>
    </row>
    <row r="15" spans="2:136">
      <c r="M15" t="s">
        <v>42</v>
      </c>
    </row>
    <row r="16" spans="2:136">
      <c r="K16">
        <v>300</v>
      </c>
      <c r="L16">
        <f t="shared" ref="L16:R23" si="41">L5*60</f>
        <v>1.6449086161879818</v>
      </c>
      <c r="M16">
        <f t="shared" si="41"/>
        <v>2.1290587751746677</v>
      </c>
      <c r="N16">
        <f t="shared" si="41"/>
        <v>2.592592592592617</v>
      </c>
      <c r="O16">
        <f t="shared" si="41"/>
        <v>0</v>
      </c>
      <c r="P16">
        <f t="shared" si="41"/>
        <v>0</v>
      </c>
      <c r="Q16">
        <f t="shared" si="41"/>
        <v>0</v>
      </c>
      <c r="R16">
        <f t="shared" si="41"/>
        <v>0</v>
      </c>
    </row>
    <row r="17" spans="11:18">
      <c r="K17">
        <v>325</v>
      </c>
      <c r="L17">
        <f t="shared" si="41"/>
        <v>10.783289817232372</v>
      </c>
      <c r="M17">
        <f t="shared" si="41"/>
        <v>4.6666666666666901</v>
      </c>
      <c r="N17">
        <f t="shared" si="41"/>
        <v>5.7102672292545895</v>
      </c>
      <c r="O17">
        <f t="shared" si="41"/>
        <v>7.3946515568288076</v>
      </c>
      <c r="P17">
        <f t="shared" si="41"/>
        <v>3.723404255319156</v>
      </c>
      <c r="Q17">
        <f t="shared" si="41"/>
        <v>2.18749999999998</v>
      </c>
      <c r="R17">
        <f t="shared" si="41"/>
        <v>0</v>
      </c>
    </row>
    <row r="18" spans="11:18">
      <c r="K18">
        <v>350</v>
      </c>
      <c r="L18">
        <f t="shared" si="41"/>
        <v>21.292428198433406</v>
      </c>
      <c r="M18">
        <f t="shared" si="41"/>
        <v>11.666666666666679</v>
      </c>
      <c r="N18">
        <f t="shared" si="41"/>
        <v>9.6483825597749746</v>
      </c>
      <c r="O18">
        <f t="shared" si="41"/>
        <v>11.338307974214135</v>
      </c>
      <c r="P18">
        <f t="shared" si="41"/>
        <v>6.9503546099290689</v>
      </c>
      <c r="Q18">
        <f t="shared" si="41"/>
        <v>1.4583333333333</v>
      </c>
      <c r="R18">
        <f t="shared" si="41"/>
        <v>4.3548387096774297</v>
      </c>
    </row>
    <row r="19" spans="11:18">
      <c r="K19">
        <v>375</v>
      </c>
      <c r="L19">
        <f t="shared" si="41"/>
        <v>40.026109660574392</v>
      </c>
      <c r="M19">
        <f t="shared" si="41"/>
        <v>31.733333333333352</v>
      </c>
      <c r="N19">
        <f t="shared" si="41"/>
        <v>22.939521800281312</v>
      </c>
      <c r="O19">
        <f t="shared" si="41"/>
        <v>38.450945843738275</v>
      </c>
      <c r="P19">
        <f t="shared" si="41"/>
        <v>14.521276595744675</v>
      </c>
      <c r="Q19">
        <f t="shared" si="41"/>
        <v>17.986111111111128</v>
      </c>
      <c r="R19">
        <f t="shared" si="41"/>
        <v>6.7741935483871121</v>
      </c>
    </row>
    <row r="20" spans="11:18">
      <c r="K20">
        <v>390</v>
      </c>
      <c r="L20">
        <f t="shared" si="41"/>
        <v>57.845953002610976</v>
      </c>
      <c r="M20">
        <f t="shared" si="41"/>
        <v>48.066666666666691</v>
      </c>
      <c r="N20">
        <f t="shared" si="41"/>
        <v>44.10689170182841</v>
      </c>
      <c r="O20">
        <f t="shared" si="41"/>
        <v>50.281915095894249</v>
      </c>
      <c r="P20">
        <f t="shared" si="41"/>
        <v>21.843971631205672</v>
      </c>
      <c r="Q20">
        <f t="shared" si="41"/>
        <v>22.847222222222232</v>
      </c>
      <c r="R20">
        <f t="shared" si="41"/>
        <v>13.225806451612904</v>
      </c>
    </row>
    <row r="21" spans="11:18">
      <c r="K21">
        <v>400</v>
      </c>
      <c r="L21">
        <f t="shared" si="41"/>
        <v>71.401218450826789</v>
      </c>
      <c r="M21">
        <f t="shared" si="41"/>
        <v>65.333333333333343</v>
      </c>
      <c r="N21">
        <f t="shared" si="41"/>
        <v>61.828410689170191</v>
      </c>
      <c r="O21">
        <f t="shared" si="41"/>
        <v>58.16922793066491</v>
      </c>
      <c r="P21">
        <f t="shared" si="41"/>
        <v>27.801418439716304</v>
      </c>
      <c r="Q21">
        <f t="shared" si="41"/>
        <v>23.333333333333321</v>
      </c>
      <c r="R21">
        <f t="shared" si="41"/>
        <v>19.139784946236571</v>
      </c>
    </row>
    <row r="22" spans="11:18">
      <c r="K22">
        <v>410</v>
      </c>
      <c r="L22">
        <f t="shared" si="41"/>
        <v>99.425587467362931</v>
      </c>
      <c r="M22">
        <f t="shared" si="41"/>
        <v>84.42</v>
      </c>
      <c r="N22">
        <f t="shared" si="41"/>
        <v>101.50492264416314</v>
      </c>
      <c r="O22">
        <f t="shared" si="41"/>
        <v>79.514268289762981</v>
      </c>
      <c r="P22">
        <f t="shared" si="41"/>
        <v>33.758865248226954</v>
      </c>
      <c r="Q22">
        <f t="shared" si="41"/>
        <v>30.624999999999993</v>
      </c>
      <c r="R22">
        <f t="shared" si="41"/>
        <v>18.064516129032242</v>
      </c>
    </row>
    <row r="23" spans="11:18">
      <c r="K23">
        <v>425</v>
      </c>
      <c r="L23">
        <f t="shared" si="41"/>
        <v>138.72062663185375</v>
      </c>
      <c r="M23">
        <f t="shared" si="41"/>
        <v>124.95</v>
      </c>
      <c r="N23">
        <f t="shared" si="41"/>
        <v>150.44831223628694</v>
      </c>
      <c r="O23">
        <f t="shared" si="41"/>
        <v>113.97196623666727</v>
      </c>
      <c r="P23">
        <f t="shared" si="41"/>
        <v>54.113475177304963</v>
      </c>
      <c r="Q23">
        <f t="shared" si="41"/>
        <v>57.847222222222214</v>
      </c>
      <c r="R23">
        <f t="shared" si="41"/>
        <v>38.62903225806452</v>
      </c>
    </row>
    <row r="24" spans="11:18">
      <c r="K24">
        <v>450</v>
      </c>
      <c r="L24">
        <f t="shared" ref="L24:R24" si="42">L13*60</f>
        <v>201.04438642297649</v>
      </c>
      <c r="M24">
        <f t="shared" si="42"/>
        <v>193.7355</v>
      </c>
      <c r="N24">
        <f t="shared" si="42"/>
        <v>170.71729957805906</v>
      </c>
      <c r="O24">
        <f t="shared" si="42"/>
        <v>168.29583338615015</v>
      </c>
      <c r="P24">
        <f t="shared" si="42"/>
        <v>107.82978723404254</v>
      </c>
      <c r="Q24">
        <f t="shared" si="42"/>
        <v>87.281249999999986</v>
      </c>
      <c r="R24">
        <f t="shared" si="42"/>
        <v>63.709677419354847</v>
      </c>
    </row>
    <row r="26" spans="11:18">
      <c r="L26" t="s">
        <v>101</v>
      </c>
    </row>
    <row r="27" spans="11:18">
      <c r="L27" s="9">
        <v>6.3</v>
      </c>
      <c r="M27" s="9">
        <v>9.6999999999999993</v>
      </c>
      <c r="N27" s="9">
        <v>16.600000000000001</v>
      </c>
      <c r="O27" s="9">
        <v>18.3</v>
      </c>
      <c r="P27" s="9">
        <v>27.8</v>
      </c>
      <c r="Q27" s="9">
        <v>38.9</v>
      </c>
      <c r="R27" s="9">
        <v>44.7</v>
      </c>
    </row>
    <row r="28" spans="11:18">
      <c r="L28" t="s">
        <v>22</v>
      </c>
      <c r="M28" t="s">
        <v>34</v>
      </c>
      <c r="N28" t="s">
        <v>50</v>
      </c>
      <c r="O28" t="s">
        <v>51</v>
      </c>
      <c r="P28" t="s">
        <v>99</v>
      </c>
      <c r="Q28" t="s">
        <v>53</v>
      </c>
      <c r="R28" t="s">
        <v>100</v>
      </c>
    </row>
    <row r="29" spans="11:18">
      <c r="L29">
        <v>1</v>
      </c>
      <c r="M29">
        <v>0.5</v>
      </c>
      <c r="N29">
        <v>0.5</v>
      </c>
      <c r="O29">
        <v>0.23</v>
      </c>
      <c r="P29">
        <v>0.15</v>
      </c>
      <c r="Q29">
        <v>0.1</v>
      </c>
      <c r="R29">
        <v>0.1</v>
      </c>
    </row>
    <row r="30" spans="11:18">
      <c r="K30">
        <v>300</v>
      </c>
      <c r="L30" s="23">
        <f t="shared" ref="L30:L38" si="43">L5/1</f>
        <v>2.7415143603133029E-2</v>
      </c>
      <c r="M30" s="23">
        <f t="shared" ref="M30:N32" si="44">M5/0.5</f>
        <v>7.0968625839155586E-2</v>
      </c>
      <c r="N30" s="23">
        <f t="shared" si="44"/>
        <v>8.6419753086420567E-2</v>
      </c>
      <c r="O30" s="23">
        <f t="shared" ref="O30:O38" si="45">O5/0.23</f>
        <v>0</v>
      </c>
      <c r="P30" s="23">
        <f t="shared" ref="P30:P38" si="46">P5/0.15</f>
        <v>0</v>
      </c>
      <c r="Q30" s="23">
        <f t="shared" ref="Q30:R37" si="47">Q5/0.1</f>
        <v>0</v>
      </c>
      <c r="R30" s="23">
        <f t="shared" si="47"/>
        <v>0</v>
      </c>
    </row>
    <row r="31" spans="11:18">
      <c r="K31">
        <v>325</v>
      </c>
      <c r="L31" s="23">
        <f t="shared" si="43"/>
        <v>0.17972149695387288</v>
      </c>
      <c r="M31" s="23">
        <f t="shared" si="44"/>
        <v>0.15555555555555634</v>
      </c>
      <c r="N31" s="23">
        <f t="shared" si="44"/>
        <v>0.19034224097515298</v>
      </c>
      <c r="O31" s="23">
        <f t="shared" si="45"/>
        <v>0.53584431571223246</v>
      </c>
      <c r="P31" s="23">
        <f t="shared" si="46"/>
        <v>0.4137115839243507</v>
      </c>
      <c r="Q31" s="23">
        <f t="shared" si="47"/>
        <v>0.36458333333332998</v>
      </c>
      <c r="R31" s="23">
        <f t="shared" si="47"/>
        <v>0</v>
      </c>
    </row>
    <row r="32" spans="11:18">
      <c r="K32">
        <v>350</v>
      </c>
      <c r="L32" s="23">
        <f t="shared" si="43"/>
        <v>0.35487380330722346</v>
      </c>
      <c r="M32" s="23">
        <f t="shared" si="44"/>
        <v>0.38888888888888928</v>
      </c>
      <c r="N32" s="23">
        <f t="shared" si="44"/>
        <v>0.32161275199249917</v>
      </c>
      <c r="O32" s="23">
        <f t="shared" si="45"/>
        <v>0.82161651987058959</v>
      </c>
      <c r="P32" s="23">
        <f t="shared" si="46"/>
        <v>0.77226162332545212</v>
      </c>
      <c r="Q32" s="23">
        <f t="shared" si="47"/>
        <v>0.24305555555555</v>
      </c>
      <c r="R32" s="23">
        <f t="shared" si="47"/>
        <v>0.72580645161290491</v>
      </c>
    </row>
    <row r="33" spans="11:18">
      <c r="K33">
        <v>375</v>
      </c>
      <c r="L33" s="23">
        <f t="shared" si="43"/>
        <v>0.66710182767623982</v>
      </c>
      <c r="M33" s="23">
        <f t="shared" ref="M33:N37" si="48">M8/0.5</f>
        <v>1.0577777777777784</v>
      </c>
      <c r="N33" s="23">
        <f t="shared" si="48"/>
        <v>0.76465072667604372</v>
      </c>
      <c r="O33" s="23">
        <f t="shared" si="45"/>
        <v>2.786300423459295</v>
      </c>
      <c r="P33" s="23">
        <f t="shared" si="46"/>
        <v>1.613475177304964</v>
      </c>
      <c r="Q33" s="23">
        <f t="shared" si="47"/>
        <v>2.9976851851851882</v>
      </c>
      <c r="R33" s="23">
        <f t="shared" si="47"/>
        <v>1.1290322580645187</v>
      </c>
    </row>
    <row r="34" spans="11:18">
      <c r="K34">
        <v>390</v>
      </c>
      <c r="L34" s="23">
        <f t="shared" si="43"/>
        <v>0.96409921671018295</v>
      </c>
      <c r="M34" s="23">
        <f t="shared" si="48"/>
        <v>1.6022222222222231</v>
      </c>
      <c r="N34" s="23">
        <f t="shared" si="48"/>
        <v>1.4702297233942803</v>
      </c>
      <c r="O34" s="23">
        <f t="shared" si="45"/>
        <v>3.643617035934366</v>
      </c>
      <c r="P34" s="23">
        <f t="shared" si="46"/>
        <v>2.4271079590228526</v>
      </c>
      <c r="Q34" s="23">
        <f t="shared" si="47"/>
        <v>3.807870370370372</v>
      </c>
      <c r="R34" s="23">
        <f t="shared" si="47"/>
        <v>2.2043010752688175</v>
      </c>
    </row>
    <row r="35" spans="11:18">
      <c r="K35">
        <v>400</v>
      </c>
      <c r="L35" s="23">
        <f t="shared" si="43"/>
        <v>1.1900203075137799</v>
      </c>
      <c r="M35" s="23">
        <f t="shared" si="48"/>
        <v>2.177777777777778</v>
      </c>
      <c r="N35" s="23">
        <f t="shared" si="48"/>
        <v>2.0609470229723397</v>
      </c>
      <c r="O35" s="23">
        <f t="shared" si="45"/>
        <v>4.2151614442510805</v>
      </c>
      <c r="P35" s="23">
        <f t="shared" si="46"/>
        <v>3.089046493301812</v>
      </c>
      <c r="Q35" s="23">
        <f t="shared" si="47"/>
        <v>3.8888888888888866</v>
      </c>
      <c r="R35" s="23">
        <f t="shared" si="47"/>
        <v>3.1899641577060946</v>
      </c>
    </row>
    <row r="36" spans="11:18">
      <c r="K36">
        <v>410</v>
      </c>
      <c r="L36" s="23">
        <f t="shared" si="43"/>
        <v>1.6570931244560487</v>
      </c>
      <c r="M36" s="23">
        <f t="shared" si="48"/>
        <v>2.8140000000000001</v>
      </c>
      <c r="N36" s="23">
        <f t="shared" si="48"/>
        <v>3.383497421472105</v>
      </c>
      <c r="O36" s="23">
        <f t="shared" si="45"/>
        <v>5.761903499258187</v>
      </c>
      <c r="P36" s="23">
        <f t="shared" si="46"/>
        <v>3.7509850275807728</v>
      </c>
      <c r="Q36" s="23">
        <f t="shared" si="47"/>
        <v>5.1041666666666652</v>
      </c>
      <c r="R36" s="23">
        <f t="shared" si="47"/>
        <v>3.0107526881720403</v>
      </c>
    </row>
    <row r="37" spans="11:18">
      <c r="K37">
        <v>425</v>
      </c>
      <c r="L37" s="23">
        <f t="shared" si="43"/>
        <v>2.3120104438642293</v>
      </c>
      <c r="M37" s="23">
        <f t="shared" si="48"/>
        <v>4.165</v>
      </c>
      <c r="N37" s="23">
        <f t="shared" si="48"/>
        <v>5.0149437412095645</v>
      </c>
      <c r="O37" s="23">
        <f t="shared" si="45"/>
        <v>8.2588381330918299</v>
      </c>
      <c r="P37" s="23">
        <f t="shared" si="46"/>
        <v>6.012608353033885</v>
      </c>
      <c r="Q37" s="23">
        <f t="shared" si="47"/>
        <v>9.6412037037037024</v>
      </c>
      <c r="R37" s="23">
        <f t="shared" si="47"/>
        <v>6.438172043010753</v>
      </c>
    </row>
    <row r="38" spans="11:18">
      <c r="K38">
        <v>450</v>
      </c>
      <c r="L38" s="23">
        <f t="shared" si="43"/>
        <v>3.350739773716275</v>
      </c>
      <c r="M38" s="23">
        <f>M13/0.5</f>
        <v>6.4578500000000005</v>
      </c>
      <c r="N38" s="23">
        <f>N13/0.5</f>
        <v>5.690576652601969</v>
      </c>
      <c r="O38" s="23">
        <f t="shared" si="45"/>
        <v>12.195350245373199</v>
      </c>
      <c r="P38" s="23">
        <f t="shared" si="46"/>
        <v>11.981087470449172</v>
      </c>
      <c r="Q38" s="23">
        <f t="shared" ref="Q38:R38" si="49">Q13/0.1</f>
        <v>14.546874999999996</v>
      </c>
      <c r="R38" s="23">
        <f t="shared" si="49"/>
        <v>10.618279569892474</v>
      </c>
    </row>
    <row r="50" spans="22:86">
      <c r="X50" t="s">
        <v>144</v>
      </c>
    </row>
    <row r="51" spans="22:86">
      <c r="X51" t="s">
        <v>145</v>
      </c>
    </row>
    <row r="52" spans="22:86">
      <c r="W52" t="s">
        <v>146</v>
      </c>
      <c r="X52">
        <v>2.5000000000000001E-2</v>
      </c>
      <c r="Y52">
        <v>0.05</v>
      </c>
      <c r="Z52">
        <v>0.1</v>
      </c>
      <c r="AA52">
        <v>0.2</v>
      </c>
      <c r="AB52">
        <v>0.3</v>
      </c>
    </row>
    <row r="53" spans="22:86">
      <c r="W53" t="s">
        <v>67</v>
      </c>
      <c r="X53" s="3">
        <v>9.257849069923145E-2</v>
      </c>
      <c r="Y53" s="3">
        <v>0.131436738409758</v>
      </c>
      <c r="Z53" s="22">
        <v>0.22709738272397631</v>
      </c>
      <c r="AA53" s="22">
        <v>0.51698378311939996</v>
      </c>
      <c r="AB53" s="3">
        <v>0.6584541966873152</v>
      </c>
    </row>
    <row r="54" spans="22:86">
      <c r="W54" t="s">
        <v>70</v>
      </c>
      <c r="X54" s="3">
        <v>0.19858715987747722</v>
      </c>
      <c r="Y54" s="3">
        <v>0.50329112442945989</v>
      </c>
      <c r="Z54" s="22">
        <v>0.75644162025597517</v>
      </c>
      <c r="AA54" s="22">
        <v>1.253157575998272</v>
      </c>
      <c r="AB54" s="3">
        <v>1.7205401690730395</v>
      </c>
    </row>
    <row r="55" spans="22:86">
      <c r="W55" t="s">
        <v>72</v>
      </c>
      <c r="X55" s="3">
        <v>0.30270281710611208</v>
      </c>
      <c r="Y55" s="3">
        <v>1.115757171991322</v>
      </c>
      <c r="Z55" s="22">
        <v>1.4664747348486085</v>
      </c>
      <c r="AA55" s="22">
        <v>1.680656300321294</v>
      </c>
      <c r="AB55" s="3">
        <v>3.0434893627464863</v>
      </c>
    </row>
    <row r="56" spans="22:86">
      <c r="V56" t="s">
        <v>73</v>
      </c>
      <c r="CH56" s="31"/>
    </row>
    <row r="57" spans="22:86">
      <c r="V57" s="3">
        <v>9.9720999999999993</v>
      </c>
      <c r="W57" t="s">
        <v>67</v>
      </c>
      <c r="X57">
        <f>X52*2.3142</f>
        <v>5.7855000000000004E-2</v>
      </c>
      <c r="Y57">
        <f>Y52*2.3142</f>
        <v>0.11571000000000001</v>
      </c>
      <c r="Z57">
        <f>Z52*2.3142</f>
        <v>0.23142000000000001</v>
      </c>
      <c r="AA57">
        <f>AA52*2.3142</f>
        <v>0.46284000000000003</v>
      </c>
      <c r="AB57">
        <f>AB52*2.3142</f>
        <v>0.69425999999999999</v>
      </c>
    </row>
    <row r="58" spans="22:86">
      <c r="V58" s="3">
        <v>5.9962</v>
      </c>
      <c r="W58" t="s">
        <v>70</v>
      </c>
      <c r="X58">
        <f>X52*5.9962</f>
        <v>0.14990500000000001</v>
      </c>
      <c r="Y58">
        <f>Y52*5.9962</f>
        <v>0.29981000000000002</v>
      </c>
      <c r="Z58">
        <f>Z52*5.9962</f>
        <v>0.59962000000000004</v>
      </c>
      <c r="AA58">
        <f>AA52*5.9962</f>
        <v>1.1992400000000001</v>
      </c>
      <c r="AB58">
        <f>AB52*5.9962</f>
        <v>1.7988599999999999</v>
      </c>
    </row>
    <row r="59" spans="22:86">
      <c r="V59" s="3">
        <v>2.3142</v>
      </c>
      <c r="W59" t="s">
        <v>72</v>
      </c>
      <c r="X59">
        <f>X52*9.9721</f>
        <v>0.24930249999999998</v>
      </c>
      <c r="Y59">
        <f>Y52*9.9721</f>
        <v>0.49860499999999996</v>
      </c>
      <c r="Z59">
        <f>Z52*9.9721</f>
        <v>0.99720999999999993</v>
      </c>
      <c r="AA59">
        <f>AA52*9.9721</f>
        <v>1.9944199999999999</v>
      </c>
      <c r="AB59">
        <f>AB52*9.9721</f>
        <v>2.9916299999999998</v>
      </c>
      <c r="CH59" s="31"/>
    </row>
    <row r="61" spans="22:86">
      <c r="V61" t="s">
        <v>76</v>
      </c>
      <c r="X61">
        <v>1</v>
      </c>
      <c r="Y61">
        <f>Y52/X52</f>
        <v>2</v>
      </c>
      <c r="Z61">
        <f>Z52/X52</f>
        <v>4</v>
      </c>
      <c r="AA61">
        <f>AA52/X52</f>
        <v>8</v>
      </c>
      <c r="AB61">
        <f>AB52/X52</f>
        <v>11.999999999999998</v>
      </c>
      <c r="CH61" s="31"/>
    </row>
    <row r="62" spans="22:86">
      <c r="V62" t="s">
        <v>78</v>
      </c>
      <c r="X62">
        <f>X57/X57</f>
        <v>1</v>
      </c>
      <c r="Y62">
        <f>Y57/X57</f>
        <v>2</v>
      </c>
      <c r="Z62">
        <f>Z57/X57</f>
        <v>4</v>
      </c>
      <c r="AA62">
        <f>AA57/X57</f>
        <v>8</v>
      </c>
      <c r="AB62">
        <f>AB57/X57</f>
        <v>11.999999999999998</v>
      </c>
    </row>
    <row r="63" spans="22:86">
      <c r="V63" t="s">
        <v>79</v>
      </c>
      <c r="X63">
        <f>X58/X58</f>
        <v>1</v>
      </c>
      <c r="Y63">
        <f>Y58/X58</f>
        <v>2</v>
      </c>
      <c r="Z63">
        <f>Z58/X58</f>
        <v>4</v>
      </c>
      <c r="AA63">
        <f>AA58/X58</f>
        <v>8</v>
      </c>
      <c r="AB63">
        <f>AB58/X58</f>
        <v>11.999999999999998</v>
      </c>
    </row>
    <row r="64" spans="22:86">
      <c r="V64" t="s">
        <v>80</v>
      </c>
      <c r="X64">
        <f>X59/X59</f>
        <v>1</v>
      </c>
      <c r="Y64">
        <f>Y59/X59</f>
        <v>2</v>
      </c>
      <c r="Z64">
        <f>Z59/X59</f>
        <v>4</v>
      </c>
      <c r="AA64">
        <f>AA59/X59</f>
        <v>8</v>
      </c>
      <c r="AB64">
        <f>AB59/X59</f>
        <v>12</v>
      </c>
      <c r="CH64" s="31"/>
    </row>
    <row r="66" spans="22:28">
      <c r="V66" t="s">
        <v>76</v>
      </c>
      <c r="X66">
        <v>1</v>
      </c>
      <c r="Y66">
        <f>Y57/X57</f>
        <v>2</v>
      </c>
      <c r="Z66">
        <f>Z57/X57</f>
        <v>4</v>
      </c>
      <c r="AA66">
        <f>AA57/X57</f>
        <v>8</v>
      </c>
      <c r="AB66">
        <f>AB57/X57</f>
        <v>11.999999999999998</v>
      </c>
    </row>
    <row r="67" spans="22:28">
      <c r="V67" t="s">
        <v>78</v>
      </c>
      <c r="X67">
        <f>X53/X53</f>
        <v>1</v>
      </c>
      <c r="Y67">
        <f>Y53/X53</f>
        <v>1.4197330007978748</v>
      </c>
      <c r="Z67">
        <f>Z53/X53</f>
        <v>2.4530253302764375</v>
      </c>
      <c r="AA67">
        <f>AA53/X53</f>
        <v>5.584275345328046</v>
      </c>
      <c r="AB67">
        <f>AB53/X53</f>
        <v>7.1123885441867696</v>
      </c>
    </row>
    <row r="68" spans="22:28">
      <c r="V68" t="s">
        <v>79</v>
      </c>
      <c r="X68">
        <f>X54/X54</f>
        <v>1</v>
      </c>
      <c r="Y68">
        <f>Y54/X54</f>
        <v>2.5343588414274949</v>
      </c>
      <c r="Z68">
        <f>Z54/X54</f>
        <v>3.8091164641393669</v>
      </c>
      <c r="AA68">
        <f>AA54/X54</f>
        <v>6.310365568304797</v>
      </c>
      <c r="AB68">
        <f>AB54/X54</f>
        <v>8.6639044041647271</v>
      </c>
    </row>
    <row r="69" spans="22:28">
      <c r="V69" t="s">
        <v>80</v>
      </c>
      <c r="X69">
        <f>X55/X55</f>
        <v>1</v>
      </c>
      <c r="Y69">
        <f>Y55/X55</f>
        <v>3.6859821215347157</v>
      </c>
      <c r="Z69">
        <f>Z55/X55</f>
        <v>4.8446022037995693</v>
      </c>
      <c r="AA69">
        <f>AA55/X55</f>
        <v>5.5521660366052759</v>
      </c>
      <c r="AB69">
        <f>AB55/X55</f>
        <v>10.054380701979378</v>
      </c>
    </row>
    <row r="91" spans="120:120" ht="18">
      <c r="DP91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activeCell="U27" sqref="U27"/>
    </sheetView>
  </sheetViews>
  <sheetFormatPr defaultRowHeight="15"/>
  <sheetData>
    <row r="1" spans="2:17">
      <c r="C1" t="s">
        <v>43</v>
      </c>
    </row>
    <row r="2" spans="2:17">
      <c r="C2" t="s">
        <v>44</v>
      </c>
      <c r="D2">
        <v>5175000</v>
      </c>
      <c r="E2" t="s">
        <v>45</v>
      </c>
    </row>
    <row r="3" spans="2:17">
      <c r="E3" t="s">
        <v>22</v>
      </c>
      <c r="G3" t="s">
        <v>34</v>
      </c>
      <c r="I3" t="s">
        <v>50</v>
      </c>
      <c r="K3" t="s">
        <v>51</v>
      </c>
      <c r="M3" t="s">
        <v>52</v>
      </c>
      <c r="O3" t="s">
        <v>53</v>
      </c>
      <c r="Q3" t="s">
        <v>54</v>
      </c>
    </row>
    <row r="4" spans="2:17">
      <c r="C4" t="s">
        <v>46</v>
      </c>
      <c r="E4">
        <v>6.3</v>
      </c>
      <c r="G4">
        <v>9.6999999999999993</v>
      </c>
      <c r="I4">
        <v>16.600000000000001</v>
      </c>
      <c r="K4">
        <v>18.3</v>
      </c>
      <c r="M4">
        <v>27.8</v>
      </c>
      <c r="O4">
        <v>38.9</v>
      </c>
      <c r="Q4">
        <v>44.7</v>
      </c>
    </row>
    <row r="5" spans="2:17">
      <c r="C5" t="s">
        <v>47</v>
      </c>
      <c r="E5">
        <f>E4*0.000000001</f>
        <v>6.3000000000000002E-9</v>
      </c>
      <c r="G5">
        <f>G4*0.000000001</f>
        <v>9.6999999999999992E-9</v>
      </c>
      <c r="I5">
        <f>I4*0.000000001</f>
        <v>1.6600000000000003E-8</v>
      </c>
      <c r="K5">
        <f>K4*0.000000001</f>
        <v>1.8300000000000002E-8</v>
      </c>
      <c r="M5">
        <f>M4*0.000000001</f>
        <v>2.7800000000000004E-8</v>
      </c>
      <c r="O5">
        <f>O4*0.000000001</f>
        <v>3.8900000000000004E-8</v>
      </c>
      <c r="Q5">
        <f>Q4*0.000000001</f>
        <v>4.4700000000000003E-8</v>
      </c>
    </row>
    <row r="6" spans="2:17">
      <c r="C6" t="s">
        <v>48</v>
      </c>
      <c r="E6">
        <f>E5/2</f>
        <v>3.1500000000000001E-9</v>
      </c>
      <c r="G6">
        <f>G5/2</f>
        <v>4.8499999999999996E-9</v>
      </c>
      <c r="I6">
        <f>I5/2</f>
        <v>8.3000000000000015E-9</v>
      </c>
      <c r="K6">
        <f>K5/2</f>
        <v>9.1500000000000009E-9</v>
      </c>
      <c r="M6">
        <f>M5/2</f>
        <v>1.3900000000000002E-8</v>
      </c>
      <c r="O6">
        <f>O5/2</f>
        <v>1.9450000000000002E-8</v>
      </c>
      <c r="Q6">
        <f>Q5/2</f>
        <v>2.2350000000000002E-8</v>
      </c>
    </row>
    <row r="11" spans="2:17" ht="17.25">
      <c r="B11" t="s">
        <v>56</v>
      </c>
    </row>
    <row r="12" spans="2:17">
      <c r="B12" s="31" t="s">
        <v>57</v>
      </c>
      <c r="C12" s="31"/>
    </row>
    <row r="13" spans="2:17">
      <c r="C13" t="s">
        <v>58</v>
      </c>
      <c r="E13">
        <f>4*PI()*((3.15)^2)</f>
        <v>124.68981242097888</v>
      </c>
      <c r="F13" t="s">
        <v>59</v>
      </c>
      <c r="G13">
        <f>4*PI()*((4.85)^2)</f>
        <v>295.5924527762636</v>
      </c>
      <c r="H13" t="s">
        <v>59</v>
      </c>
      <c r="I13">
        <f>4*PI()*((8.25)^2)</f>
        <v>855.2985999398212</v>
      </c>
      <c r="J13" t="s">
        <v>59</v>
      </c>
      <c r="K13">
        <f>4*PI()*((9.05)^2)</f>
        <v>1029.2171692425522</v>
      </c>
      <c r="L13" t="s">
        <v>59</v>
      </c>
      <c r="M13">
        <f>4*PI()*((13.9)^2)</f>
        <v>2427.9484664003357</v>
      </c>
      <c r="N13" t="s">
        <v>59</v>
      </c>
      <c r="O13">
        <f>4*PI()*((19.45)^2)</f>
        <v>4753.8894193386104</v>
      </c>
      <c r="P13" t="s">
        <v>59</v>
      </c>
      <c r="Q13">
        <f>4*PI()*((25.5)^2)</f>
        <v>8171.2824919870518</v>
      </c>
    </row>
    <row r="15" spans="2:17">
      <c r="C15" t="s">
        <v>60</v>
      </c>
      <c r="E15">
        <f>4*PI()*((E6)^2)</f>
        <v>1.2468981242097891E-16</v>
      </c>
      <c r="F15" t="s">
        <v>61</v>
      </c>
      <c r="G15">
        <f>4*PI()*((G6)^2)</f>
        <v>2.9559245277626356E-16</v>
      </c>
      <c r="H15" t="s">
        <v>61</v>
      </c>
      <c r="I15">
        <f>4*PI()*((I6)^2)</f>
        <v>8.6569727162320363E-16</v>
      </c>
      <c r="J15" t="s">
        <v>61</v>
      </c>
      <c r="K15">
        <f>4*PI()*((K6)^2)</f>
        <v>1.052087963760686E-15</v>
      </c>
      <c r="L15" t="s">
        <v>61</v>
      </c>
      <c r="M15">
        <f>4*PI()*((M6)^2)</f>
        <v>2.4279484664003364E-15</v>
      </c>
      <c r="N15" t="s">
        <v>61</v>
      </c>
      <c r="O15">
        <f>4*PI()*((O6)^2)</f>
        <v>4.7538894193386124E-15</v>
      </c>
      <c r="P15" t="s">
        <v>61</v>
      </c>
      <c r="Q15">
        <f>4*PI()*((Q6)^2)</f>
        <v>6.27718486521123E-15</v>
      </c>
    </row>
    <row r="17" spans="1:17" ht="17.25">
      <c r="B17" s="31" t="s">
        <v>62</v>
      </c>
      <c r="C17" s="31"/>
    </row>
    <row r="18" spans="1:17">
      <c r="B18" s="31" t="s">
        <v>63</v>
      </c>
      <c r="C18" s="31"/>
    </row>
    <row r="19" spans="1:17" ht="17.25">
      <c r="C19" t="s">
        <v>64</v>
      </c>
      <c r="E19">
        <f>(4/3)*PI()*((3.15)^3)</f>
        <v>130.92430304202782</v>
      </c>
      <c r="F19" t="s">
        <v>65</v>
      </c>
      <c r="G19">
        <f>(4/3)*PI()*((4.85)^3)</f>
        <v>477.87446532162608</v>
      </c>
      <c r="H19" t="s">
        <v>65</v>
      </c>
      <c r="I19">
        <f>(4/3)*PI()*((8.25)^3)</f>
        <v>2352.0711498345081</v>
      </c>
      <c r="J19" t="s">
        <v>65</v>
      </c>
      <c r="K19">
        <f>(4/3)*PI()*((9.15)^3)</f>
        <v>3208.8682894700919</v>
      </c>
      <c r="L19" t="s">
        <v>65</v>
      </c>
      <c r="M19">
        <f>(4/3)*PI()*((13.9)^3)</f>
        <v>11249.494560988222</v>
      </c>
      <c r="N19" t="s">
        <v>65</v>
      </c>
      <c r="O19">
        <f>(4/3)*PI()*((19.45)^3)</f>
        <v>30821.049735378652</v>
      </c>
      <c r="P19" t="s">
        <v>65</v>
      </c>
      <c r="Q19">
        <f>(4/3)*PI()*((25.5)^3)</f>
        <v>69455.901181889931</v>
      </c>
    </row>
    <row r="20" spans="1:17" ht="17.25">
      <c r="C20" t="s">
        <v>64</v>
      </c>
      <c r="E20">
        <f>(4/3)*PI()*((E6)^3)</f>
        <v>1.3092430304202783E-25</v>
      </c>
      <c r="F20" t="s">
        <v>66</v>
      </c>
      <c r="G20">
        <f>(4/3)*PI()*((G6)^3)</f>
        <v>4.7787446532162597E-25</v>
      </c>
      <c r="H20" t="s">
        <v>66</v>
      </c>
      <c r="I20">
        <f>(4/3)*PI()*((I6)^3)</f>
        <v>2.3950957848241971E-24</v>
      </c>
      <c r="J20" t="s">
        <v>66</v>
      </c>
      <c r="K20">
        <f>(4/3)*PI()*((K6)^3)</f>
        <v>3.2088682894700923E-24</v>
      </c>
      <c r="L20" t="s">
        <v>66</v>
      </c>
      <c r="M20">
        <f>(4/3)*PI()*((M6)^3)</f>
        <v>1.1249494560988226E-23</v>
      </c>
      <c r="N20" t="s">
        <v>66</v>
      </c>
      <c r="O20">
        <f>(4/3)*PI()*((O6)^3)</f>
        <v>3.082104973537867E-23</v>
      </c>
      <c r="P20" t="s">
        <v>66</v>
      </c>
      <c r="Q20">
        <f>(4/3)*PI()*((Q6)^3)</f>
        <v>4.6765027245823663E-23</v>
      </c>
    </row>
    <row r="22" spans="1:17">
      <c r="B22" s="31" t="s">
        <v>68</v>
      </c>
      <c r="C22" s="31"/>
      <c r="D22" s="31" t="s">
        <v>69</v>
      </c>
      <c r="M22" s="31"/>
      <c r="N22" s="31"/>
      <c r="O22" s="31"/>
    </row>
    <row r="23" spans="1:17">
      <c r="C23" t="s">
        <v>71</v>
      </c>
      <c r="E23">
        <f>D2*E20</f>
        <v>6.7753326824249404E-19</v>
      </c>
      <c r="G23">
        <f>D2*G20</f>
        <v>2.4730003580394145E-18</v>
      </c>
      <c r="H23" t="s">
        <v>55</v>
      </c>
      <c r="I23">
        <f>D2*I20</f>
        <v>1.239462068646522E-17</v>
      </c>
      <c r="J23" t="s">
        <v>55</v>
      </c>
      <c r="K23">
        <f>D2*K20</f>
        <v>1.6605893398007728E-17</v>
      </c>
      <c r="L23" t="s">
        <v>55</v>
      </c>
      <c r="M23">
        <f>D2*M20</f>
        <v>5.8216134353114071E-17</v>
      </c>
      <c r="N23" t="s">
        <v>55</v>
      </c>
      <c r="O23">
        <f>D2*O20</f>
        <v>1.5949893238058463E-16</v>
      </c>
      <c r="P23" t="s">
        <v>55</v>
      </c>
      <c r="Q23">
        <f>D2*Q20</f>
        <v>2.4200901599713743E-16</v>
      </c>
    </row>
    <row r="26" spans="1:17">
      <c r="A26" s="31" t="s">
        <v>85</v>
      </c>
    </row>
    <row r="27" spans="1:17">
      <c r="E27" s="34">
        <f>1/E23</f>
        <v>1.4759422848622287E+18</v>
      </c>
      <c r="F27" s="34"/>
      <c r="G27" s="34">
        <f t="shared" ref="G27:Q27" si="0">1/G23</f>
        <v>4.0436710684215034E+17</v>
      </c>
      <c r="H27" s="34"/>
      <c r="I27" s="34">
        <f t="shared" si="0"/>
        <v>8.068016160365344E+16</v>
      </c>
      <c r="J27" s="34"/>
      <c r="K27" s="34">
        <f t="shared" si="0"/>
        <v>6.021958445909172E+16</v>
      </c>
      <c r="L27" s="34"/>
      <c r="M27" s="34">
        <f t="shared" si="0"/>
        <v>1.7177368630050726E+16</v>
      </c>
      <c r="N27" s="34"/>
      <c r="O27" s="34">
        <f t="shared" si="0"/>
        <v>6269634442529518</v>
      </c>
      <c r="P27" s="34"/>
      <c r="Q27" s="34">
        <f t="shared" si="0"/>
        <v>4132077459510138</v>
      </c>
    </row>
    <row r="28" spans="1:17">
      <c r="A28" s="31" t="s">
        <v>77</v>
      </c>
    </row>
    <row r="29" spans="1:17">
      <c r="A29" s="37" t="s">
        <v>87</v>
      </c>
      <c r="B29" s="37"/>
      <c r="E29" s="35">
        <f>E15*E27</f>
        <v>184.03496664366233</v>
      </c>
      <c r="F29" s="35"/>
      <c r="G29" s="35">
        <f t="shared" ref="G29:Q29" si="1">G15*G27</f>
        <v>119.52786493351265</v>
      </c>
      <c r="H29" s="35"/>
      <c r="I29" s="35">
        <f t="shared" si="1"/>
        <v>69.844595774401938</v>
      </c>
      <c r="J29" s="35"/>
      <c r="K29" s="35">
        <f t="shared" si="1"/>
        <v>63.356299992080459</v>
      </c>
      <c r="L29" s="35"/>
      <c r="M29" s="35">
        <f t="shared" si="1"/>
        <v>41.70576582212491</v>
      </c>
      <c r="N29" s="35"/>
      <c r="O29" s="35">
        <f t="shared" si="1"/>
        <v>29.805148839462017</v>
      </c>
      <c r="P29" s="35"/>
      <c r="Q29" s="35">
        <f t="shared" si="1"/>
        <v>25.937814090717506</v>
      </c>
    </row>
    <row r="32" spans="1:17">
      <c r="A32" s="31" t="s">
        <v>90</v>
      </c>
      <c r="B32" s="31"/>
      <c r="C32" s="31"/>
    </row>
    <row r="33" spans="1:17">
      <c r="C33" t="s">
        <v>71</v>
      </c>
      <c r="E33">
        <v>0.04</v>
      </c>
      <c r="F33" t="s">
        <v>55</v>
      </c>
      <c r="G33">
        <v>8.1000000000000003E-2</v>
      </c>
      <c r="H33" t="s">
        <v>55</v>
      </c>
      <c r="I33">
        <v>0.14399999999999999</v>
      </c>
      <c r="J33" t="s">
        <v>55</v>
      </c>
      <c r="K33">
        <v>0.2797</v>
      </c>
      <c r="L33" t="s">
        <v>55</v>
      </c>
      <c r="M33">
        <v>0.36320000000000002</v>
      </c>
      <c r="N33" t="s">
        <v>55</v>
      </c>
      <c r="O33">
        <v>0.55940000000000001</v>
      </c>
      <c r="P33" t="s">
        <v>55</v>
      </c>
      <c r="Q33">
        <v>0.63380000000000003</v>
      </c>
    </row>
    <row r="35" spans="1:17">
      <c r="A35" s="31" t="s">
        <v>74</v>
      </c>
    </row>
    <row r="36" spans="1:17">
      <c r="E36">
        <f>E33/E23</f>
        <v>5.9037691394489152E+16</v>
      </c>
      <c r="G36">
        <f>G33/G23</f>
        <v>3.275373565421418E+16</v>
      </c>
      <c r="H36" t="s">
        <v>75</v>
      </c>
      <c r="I36">
        <f>I33/I23</f>
        <v>1.1617943270926096E+16</v>
      </c>
      <c r="J36" t="s">
        <v>75</v>
      </c>
      <c r="K36">
        <f>K33/K23</f>
        <v>1.6843417773207954E+16</v>
      </c>
      <c r="L36" t="s">
        <v>75</v>
      </c>
      <c r="M36">
        <f>M33/M23</f>
        <v>6238820286434424</v>
      </c>
      <c r="N36" t="s">
        <v>75</v>
      </c>
      <c r="O36">
        <f>O33/O23</f>
        <v>3507233507151012.5</v>
      </c>
      <c r="P36" t="s">
        <v>75</v>
      </c>
      <c r="Q36">
        <f>Q33/Q23</f>
        <v>2618910693837525.5</v>
      </c>
    </row>
    <row r="37" spans="1:17">
      <c r="A37" s="31" t="s">
        <v>77</v>
      </c>
    </row>
    <row r="38" spans="1:17">
      <c r="A38" s="37" t="s">
        <v>86</v>
      </c>
      <c r="B38" s="36"/>
      <c r="C38" s="36"/>
      <c r="E38" s="32">
        <f>E15*E36</f>
        <v>7.3613986657464929</v>
      </c>
      <c r="F38" s="32"/>
      <c r="G38" s="32">
        <f>G15*G36</f>
        <v>9.6817570596145259</v>
      </c>
      <c r="H38" s="32" t="s">
        <v>49</v>
      </c>
      <c r="I38" s="32">
        <f>I15*I36</f>
        <v>10.057621791513879</v>
      </c>
      <c r="J38" s="32" t="s">
        <v>49</v>
      </c>
      <c r="K38" s="32">
        <f>K15*K36</f>
        <v>17.720757107784905</v>
      </c>
      <c r="L38" s="32" t="s">
        <v>49</v>
      </c>
      <c r="M38" s="32">
        <f>M15*M36</f>
        <v>15.147534146595767</v>
      </c>
      <c r="N38" s="32" t="s">
        <v>49</v>
      </c>
      <c r="O38" s="32">
        <f>O15*O36</f>
        <v>16.673000260795053</v>
      </c>
      <c r="P38" s="32" t="s">
        <v>49</v>
      </c>
      <c r="Q38" s="32">
        <f>Q15*Q36</f>
        <v>16.439386570696758</v>
      </c>
    </row>
    <row r="40" spans="1:17">
      <c r="A40" s="31" t="s">
        <v>81</v>
      </c>
      <c r="B40" s="31"/>
      <c r="C40" s="31"/>
    </row>
    <row r="41" spans="1:17">
      <c r="B41" t="s">
        <v>82</v>
      </c>
      <c r="E41">
        <f>E36*2</f>
        <v>1.180753827889783E+17</v>
      </c>
      <c r="G41">
        <f>G36*2</f>
        <v>6.550747130842836E+16</v>
      </c>
      <c r="I41">
        <f>I36*2</f>
        <v>2.3235886541852192E+16</v>
      </c>
      <c r="K41">
        <f>K36*2</f>
        <v>3.3686835546415908E+16</v>
      </c>
      <c r="M41">
        <f>M36*2</f>
        <v>1.2477640572868848E+16</v>
      </c>
      <c r="O41">
        <f>O36*2</f>
        <v>7014467014302025</v>
      </c>
      <c r="Q41">
        <f>Q36*2</f>
        <v>5237821387675051</v>
      </c>
    </row>
    <row r="42" spans="1:17">
      <c r="B42" t="s">
        <v>83</v>
      </c>
      <c r="E42">
        <f>E15/2</f>
        <v>6.2344906210489455E-17</v>
      </c>
      <c r="G42">
        <f>G15/2</f>
        <v>1.4779622638813178E-16</v>
      </c>
      <c r="I42">
        <f>I15/2</f>
        <v>4.3284863581160181E-16</v>
      </c>
      <c r="K42">
        <f>K15/2</f>
        <v>5.2604398188034299E-16</v>
      </c>
      <c r="M42">
        <f>M15/2</f>
        <v>1.2139742332001682E-15</v>
      </c>
      <c r="O42">
        <f>O15/2</f>
        <v>2.3769447096693062E-15</v>
      </c>
      <c r="Q42">
        <f>Q15/2</f>
        <v>3.138592432605615E-15</v>
      </c>
    </row>
    <row r="43" spans="1:17">
      <c r="B43" t="s">
        <v>84</v>
      </c>
      <c r="E43">
        <f>E41*E42</f>
        <v>7.3613986657464929</v>
      </c>
      <c r="G43">
        <f>G41*G42</f>
        <v>9.6817570596145259</v>
      </c>
      <c r="I43">
        <f>I41*I42</f>
        <v>10.057621791513879</v>
      </c>
      <c r="K43">
        <f>K41*K42</f>
        <v>17.720757107784905</v>
      </c>
      <c r="M43">
        <f>M41*M42</f>
        <v>15.147534146595767</v>
      </c>
      <c r="O43">
        <f>O41*O42</f>
        <v>16.673000260795053</v>
      </c>
      <c r="Q43">
        <f>Q41*Q42</f>
        <v>16.439386570696758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1"/>
  <sheetViews>
    <sheetView topLeftCell="AC1" workbookViewId="0">
      <selection activeCell="AN19" sqref="AN19"/>
    </sheetView>
  </sheetViews>
  <sheetFormatPr defaultRowHeight="15"/>
  <cols>
    <col min="53" max="53" width="18.85546875" customWidth="1"/>
    <col min="64" max="65" width="11.7109375" customWidth="1"/>
  </cols>
  <sheetData>
    <row r="1" spans="1:61">
      <c r="A1" t="s">
        <v>112</v>
      </c>
      <c r="K1" t="s">
        <v>113</v>
      </c>
      <c r="S1" t="s">
        <v>134</v>
      </c>
      <c r="AA1" t="s">
        <v>116</v>
      </c>
      <c r="AB1" t="s">
        <v>136</v>
      </c>
      <c r="AI1" t="s">
        <v>114</v>
      </c>
      <c r="AR1" t="s">
        <v>116</v>
      </c>
      <c r="AS1" t="s">
        <v>143</v>
      </c>
      <c r="AZ1" t="s">
        <v>91</v>
      </c>
      <c r="BB1" s="39">
        <v>0.2736288701417976</v>
      </c>
      <c r="BC1" s="39">
        <v>0.3282648777128615</v>
      </c>
      <c r="BD1" s="39">
        <v>0.22376041470425356</v>
      </c>
      <c r="BE1" s="39">
        <v>0.29444899916899103</v>
      </c>
      <c r="BF1" s="39">
        <v>0.25559524982017851</v>
      </c>
      <c r="BG1" s="39">
        <v>0.21107543872756829</v>
      </c>
      <c r="BH1" s="39">
        <v>0.19632768361581732</v>
      </c>
      <c r="BI1" t="s">
        <v>135</v>
      </c>
    </row>
    <row r="2" spans="1:61">
      <c r="B2" s="9">
        <v>6.3</v>
      </c>
      <c r="C2" s="9">
        <v>9.6999999999999993</v>
      </c>
      <c r="D2" s="9">
        <v>16.600000000000001</v>
      </c>
      <c r="E2" s="9">
        <v>18.3</v>
      </c>
      <c r="F2" s="9">
        <v>27.8</v>
      </c>
      <c r="G2" s="9">
        <v>38.9</v>
      </c>
      <c r="H2" s="9">
        <v>44.7</v>
      </c>
      <c r="K2" s="9">
        <v>6.3</v>
      </c>
      <c r="L2" s="9">
        <v>9.6999999999999993</v>
      </c>
      <c r="M2" s="9">
        <v>16.600000000000001</v>
      </c>
      <c r="N2" s="9">
        <v>18.3</v>
      </c>
      <c r="O2" s="9">
        <v>27.8</v>
      </c>
      <c r="P2" s="9">
        <v>38.9</v>
      </c>
      <c r="Q2" s="9">
        <v>44.7</v>
      </c>
      <c r="S2" s="9">
        <v>6.3</v>
      </c>
      <c r="T2" s="9">
        <v>9.6999999999999993</v>
      </c>
      <c r="U2" s="9">
        <v>16.600000000000001</v>
      </c>
      <c r="V2" s="9">
        <v>18.3</v>
      </c>
      <c r="W2" s="9">
        <v>27.8</v>
      </c>
      <c r="X2" s="9">
        <v>38.9</v>
      </c>
      <c r="Y2" s="9">
        <v>44.7</v>
      </c>
      <c r="AA2" s="9">
        <v>6.3</v>
      </c>
      <c r="AB2" s="9">
        <v>9.6999999999999993</v>
      </c>
      <c r="AC2" s="9">
        <v>16.600000000000001</v>
      </c>
      <c r="AD2" s="9">
        <v>18.3</v>
      </c>
      <c r="AE2" s="9">
        <v>27.8</v>
      </c>
      <c r="AF2" s="9">
        <v>38.9</v>
      </c>
      <c r="AG2" s="9">
        <v>44.7</v>
      </c>
      <c r="AI2" s="9">
        <v>6.3</v>
      </c>
      <c r="AJ2" s="9">
        <v>9.6999999999999993</v>
      </c>
      <c r="AK2" s="9">
        <v>16.600000000000001</v>
      </c>
      <c r="AL2" s="9">
        <v>18.3</v>
      </c>
      <c r="AM2" s="9">
        <v>27.8</v>
      </c>
      <c r="AN2" s="9">
        <v>38.9</v>
      </c>
      <c r="AO2" s="9">
        <v>44.7</v>
      </c>
      <c r="AR2" s="9">
        <v>6.3</v>
      </c>
      <c r="AS2" s="9">
        <v>9.6999999999999993</v>
      </c>
      <c r="AT2" s="9">
        <v>16.600000000000001</v>
      </c>
      <c r="AU2" s="9">
        <v>18.3</v>
      </c>
      <c r="AV2" s="9">
        <v>27.8</v>
      </c>
      <c r="AW2" s="9">
        <v>38.9</v>
      </c>
      <c r="AX2" s="9">
        <v>44.7</v>
      </c>
      <c r="AZ2" t="s">
        <v>89</v>
      </c>
      <c r="BB2">
        <v>6.8407217535449396</v>
      </c>
      <c r="BC2">
        <v>4.052652811269895</v>
      </c>
      <c r="BD2">
        <v>1.5538917687795388</v>
      </c>
      <c r="BE2">
        <v>1.0553727568781039</v>
      </c>
      <c r="BF2">
        <v>0.71196448417877023</v>
      </c>
      <c r="BG2">
        <v>0.37692042629922912</v>
      </c>
      <c r="BH2">
        <v>0.3116312438346302</v>
      </c>
    </row>
    <row r="3" spans="1:61">
      <c r="B3" t="s">
        <v>22</v>
      </c>
      <c r="C3" t="s">
        <v>34</v>
      </c>
      <c r="D3" t="s">
        <v>50</v>
      </c>
      <c r="E3" t="s">
        <v>51</v>
      </c>
      <c r="F3" t="s">
        <v>99</v>
      </c>
      <c r="G3" t="s">
        <v>53</v>
      </c>
      <c r="H3" t="s">
        <v>100</v>
      </c>
      <c r="K3" t="s">
        <v>22</v>
      </c>
      <c r="L3" t="s">
        <v>34</v>
      </c>
      <c r="M3" t="s">
        <v>50</v>
      </c>
      <c r="N3" t="s">
        <v>51</v>
      </c>
      <c r="O3" t="s">
        <v>99</v>
      </c>
      <c r="P3" t="s">
        <v>53</v>
      </c>
      <c r="Q3" t="s">
        <v>100</v>
      </c>
      <c r="S3" t="s">
        <v>22</v>
      </c>
      <c r="T3" t="s">
        <v>34</v>
      </c>
      <c r="U3" t="s">
        <v>50</v>
      </c>
      <c r="V3" t="s">
        <v>51</v>
      </c>
      <c r="W3" t="s">
        <v>99</v>
      </c>
      <c r="X3" t="s">
        <v>53</v>
      </c>
      <c r="Y3" t="s">
        <v>100</v>
      </c>
      <c r="AA3" t="s">
        <v>22</v>
      </c>
      <c r="AB3" t="s">
        <v>34</v>
      </c>
      <c r="AC3" t="s">
        <v>50</v>
      </c>
      <c r="AD3" t="s">
        <v>51</v>
      </c>
      <c r="AE3" t="s">
        <v>99</v>
      </c>
      <c r="AF3" t="s">
        <v>53</v>
      </c>
      <c r="AG3" t="s">
        <v>100</v>
      </c>
      <c r="AI3" t="s">
        <v>22</v>
      </c>
      <c r="AJ3" t="s">
        <v>34</v>
      </c>
      <c r="AK3" t="s">
        <v>50</v>
      </c>
      <c r="AL3" t="s">
        <v>51</v>
      </c>
      <c r="AM3" t="s">
        <v>99</v>
      </c>
      <c r="AN3" t="s">
        <v>53</v>
      </c>
      <c r="AO3" t="s">
        <v>100</v>
      </c>
      <c r="AR3" t="s">
        <v>22</v>
      </c>
      <c r="AS3" t="s">
        <v>34</v>
      </c>
      <c r="AT3" t="s">
        <v>50</v>
      </c>
      <c r="AU3" t="s">
        <v>51</v>
      </c>
      <c r="AV3" t="s">
        <v>99</v>
      </c>
      <c r="AW3" t="s">
        <v>53</v>
      </c>
      <c r="AX3" t="s">
        <v>100</v>
      </c>
      <c r="BB3" s="9">
        <v>6.3</v>
      </c>
      <c r="BC3" s="9">
        <v>9.6999999999999993</v>
      </c>
      <c r="BD3" s="9">
        <v>16.600000000000001</v>
      </c>
      <c r="BE3" s="9">
        <v>18.3</v>
      </c>
      <c r="BF3" s="9">
        <v>27.8</v>
      </c>
      <c r="BG3" s="9">
        <v>38.9</v>
      </c>
      <c r="BH3" s="9">
        <v>44.7</v>
      </c>
    </row>
    <row r="4" spans="1:61">
      <c r="S4">
        <v>1</v>
      </c>
      <c r="T4">
        <v>0.5</v>
      </c>
      <c r="U4">
        <v>0.5</v>
      </c>
      <c r="V4">
        <v>0.23</v>
      </c>
      <c r="W4">
        <v>0.14000000000000001</v>
      </c>
      <c r="X4">
        <v>0.1</v>
      </c>
      <c r="Y4">
        <v>0.1</v>
      </c>
      <c r="AA4" t="s">
        <v>117</v>
      </c>
      <c r="AR4" t="s">
        <v>117</v>
      </c>
      <c r="AZ4" t="s">
        <v>102</v>
      </c>
      <c r="BB4">
        <v>7.77</v>
      </c>
      <c r="BC4">
        <v>23.62</v>
      </c>
      <c r="BD4">
        <v>1.85</v>
      </c>
      <c r="BE4">
        <v>2.12</v>
      </c>
      <c r="BF4">
        <v>0</v>
      </c>
      <c r="BG4">
        <v>3.58</v>
      </c>
      <c r="BH4">
        <v>6.3</v>
      </c>
    </row>
    <row r="5" spans="1:61">
      <c r="A5" t="s">
        <v>109</v>
      </c>
      <c r="B5" s="28">
        <v>33.855526544821572</v>
      </c>
      <c r="C5" s="28">
        <v>31.333333333333343</v>
      </c>
      <c r="D5" s="28">
        <v>29.676511954992975</v>
      </c>
      <c r="E5" s="28">
        <v>28.873339615014643</v>
      </c>
      <c r="F5" s="28">
        <v>17.021276595744681</v>
      </c>
      <c r="G5" s="28">
        <v>12.5</v>
      </c>
      <c r="H5" s="28">
        <v>14.746543778801836</v>
      </c>
      <c r="K5" s="23">
        <f>(B5/100)*3.5</f>
        <v>1.184943429068755</v>
      </c>
      <c r="L5" s="23">
        <f t="shared" ref="L5:Q7" si="0">(C5/100)*3.5</f>
        <v>1.0966666666666669</v>
      </c>
      <c r="M5" s="23">
        <f t="shared" si="0"/>
        <v>1.0386779184247541</v>
      </c>
      <c r="N5" s="23">
        <f t="shared" si="0"/>
        <v>1.0105668865255124</v>
      </c>
      <c r="O5" s="23">
        <f t="shared" si="0"/>
        <v>0.5957446808510638</v>
      </c>
      <c r="P5" s="23">
        <f t="shared" si="0"/>
        <v>0.4375</v>
      </c>
      <c r="Q5" s="23">
        <f t="shared" si="0"/>
        <v>0.51612903225806428</v>
      </c>
      <c r="S5" s="24">
        <f>K5/1</f>
        <v>1.184943429068755</v>
      </c>
      <c r="T5" s="24">
        <f>L5/0.5</f>
        <v>2.1933333333333338</v>
      </c>
      <c r="U5" s="24">
        <f>M5/0.5</f>
        <v>2.0773558368495082</v>
      </c>
      <c r="V5" s="24">
        <f>N5/0.23</f>
        <v>4.3937690718500537</v>
      </c>
      <c r="W5" s="24">
        <f>O5/0.14</f>
        <v>4.2553191489361692</v>
      </c>
      <c r="X5" s="24">
        <f>P5/0.1</f>
        <v>4.375</v>
      </c>
      <c r="Y5" s="24">
        <f>Q5/0.1</f>
        <v>5.1612903225806424</v>
      </c>
      <c r="AA5" s="38">
        <f>S5/0.252</f>
        <v>4.7021564645585521</v>
      </c>
      <c r="AB5" s="38">
        <f>S5/0.251</f>
        <v>4.7208901556524108</v>
      </c>
      <c r="AC5" s="38">
        <f>T5/0.22</f>
        <v>9.9696969696969724</v>
      </c>
      <c r="AD5" s="38">
        <f>U5/0.288</f>
        <v>7.2130411001719041</v>
      </c>
      <c r="AE5" s="38">
        <f>V5/0.256</f>
        <v>17.163160436914271</v>
      </c>
      <c r="AF5" s="38">
        <f>W5/0.204</f>
        <v>20.859407592824361</v>
      </c>
      <c r="AG5" s="38">
        <f>X5/0.184</f>
        <v>23.77717391304348</v>
      </c>
      <c r="AI5" s="25">
        <f>K5/0.04</f>
        <v>29.623585726718876</v>
      </c>
      <c r="AJ5" s="25">
        <f>L5/0.0405</f>
        <v>27.078189300411527</v>
      </c>
      <c r="AK5" s="25">
        <f>M5/0.072</f>
        <v>14.426082200343808</v>
      </c>
      <c r="AL5" s="25">
        <f>N5/0.0564</f>
        <v>17.917852597970079</v>
      </c>
      <c r="AM5" s="25">
        <f>O5/0.051</f>
        <v>11.681268251981644</v>
      </c>
      <c r="AN5" s="25">
        <f>P5/0.056</f>
        <v>7.8125</v>
      </c>
      <c r="AO5" s="25">
        <f>Q5/0.063</f>
        <v>8.1925243215565757</v>
      </c>
      <c r="AR5" s="38">
        <f>AI5/6.31</f>
        <v>4.6947045525703448</v>
      </c>
      <c r="AS5" s="38">
        <f>AJ5/3.1</f>
        <v>8.7348997743262995</v>
      </c>
      <c r="AT5" s="38">
        <f>AK5/1.53</f>
        <v>9.428811895649547</v>
      </c>
      <c r="AU5" s="38">
        <f>AL5/1.03</f>
        <v>17.395973396087456</v>
      </c>
      <c r="AV5" s="38">
        <f>AM5/0.712</f>
        <v>16.406275634805681</v>
      </c>
      <c r="AW5" s="38">
        <f>AN5/0.363</f>
        <v>21.522038567493112</v>
      </c>
      <c r="AX5" s="38">
        <f>AO5/0.292</f>
        <v>28.056590142317042</v>
      </c>
      <c r="AZ5" t="s">
        <v>103</v>
      </c>
      <c r="BB5" s="40">
        <v>33.03</v>
      </c>
      <c r="BC5" s="40">
        <v>33.39</v>
      </c>
      <c r="BD5" s="40">
        <v>53.56</v>
      </c>
      <c r="BE5" s="40">
        <v>69.95</v>
      </c>
      <c r="BF5" s="40">
        <v>84.79</v>
      </c>
      <c r="BG5" s="40">
        <v>90.21</v>
      </c>
      <c r="BH5" s="40">
        <v>88.86</v>
      </c>
    </row>
    <row r="6" spans="1:61">
      <c r="A6" t="s">
        <v>110</v>
      </c>
      <c r="B6" s="28">
        <v>34.725848563968668</v>
      </c>
      <c r="C6" s="28">
        <v>30.666666666666657</v>
      </c>
      <c r="D6" s="28">
        <v>28.270042194092824</v>
      </c>
      <c r="E6" s="28">
        <v>25.352217813777727</v>
      </c>
      <c r="F6" s="28">
        <v>11.347517730496449</v>
      </c>
      <c r="G6" s="28">
        <v>10.416666666666657</v>
      </c>
      <c r="H6" s="28">
        <v>7.834101382488484</v>
      </c>
      <c r="K6" s="23">
        <f>(B6/100)*3.5</f>
        <v>1.2154046997389034</v>
      </c>
      <c r="L6" s="23">
        <f t="shared" si="0"/>
        <v>1.073333333333333</v>
      </c>
      <c r="M6" s="23">
        <f t="shared" si="0"/>
        <v>0.98945147679324896</v>
      </c>
      <c r="N6" s="23">
        <f t="shared" si="0"/>
        <v>0.8873276234822205</v>
      </c>
      <c r="O6" s="23">
        <f t="shared" si="0"/>
        <v>0.39716312056737574</v>
      </c>
      <c r="P6" s="23">
        <f t="shared" si="0"/>
        <v>0.36458333333333304</v>
      </c>
      <c r="Q6" s="23">
        <f t="shared" si="0"/>
        <v>0.27419354838709697</v>
      </c>
      <c r="S6" s="24">
        <f t="shared" ref="S6:S7" si="1">K6/1</f>
        <v>1.2154046997389034</v>
      </c>
      <c r="T6" s="24">
        <f t="shared" ref="T6:U7" si="2">L6/0.5</f>
        <v>2.1466666666666661</v>
      </c>
      <c r="U6" s="24">
        <f t="shared" si="2"/>
        <v>1.9789029535864979</v>
      </c>
      <c r="V6" s="24">
        <f t="shared" ref="V6:V7" si="3">N6/0.23</f>
        <v>3.8579461890531324</v>
      </c>
      <c r="W6" s="24">
        <f t="shared" ref="W6:W7" si="4">O6/0.14</f>
        <v>2.8368794326241122</v>
      </c>
      <c r="X6" s="24">
        <f t="shared" ref="X6:X7" si="5">P6/0.1</f>
        <v>3.6458333333333304</v>
      </c>
      <c r="Y6" s="24">
        <f t="shared" ref="Y6:Y7" si="6">Q6/0.1</f>
        <v>2.7419354838709697</v>
      </c>
      <c r="AA6" s="38">
        <f t="shared" ref="AA6:AA7" si="7">S6/0.252</f>
        <v>4.8230345227734261</v>
      </c>
      <c r="AB6" s="38">
        <f t="shared" ref="AB6:AB7" si="8">S6/0.251</f>
        <v>4.842249799756587</v>
      </c>
      <c r="AC6" s="38">
        <f t="shared" ref="AC6:AC7" si="9">T6/0.22</f>
        <v>9.7575757575757542</v>
      </c>
      <c r="AD6" s="38">
        <f t="shared" ref="AD6:AD7" si="10">U6/0.288</f>
        <v>6.8711908110642295</v>
      </c>
      <c r="AE6" s="38">
        <f t="shared" ref="AE6:AE7" si="11">V6/0.256</f>
        <v>15.070102300988799</v>
      </c>
      <c r="AF6" s="38">
        <f t="shared" ref="AF6:AF7" si="12">W6/0.204</f>
        <v>13.906271728549571</v>
      </c>
      <c r="AG6" s="38">
        <f t="shared" ref="AG6:AG7" si="13">X6/0.184</f>
        <v>19.814311594202884</v>
      </c>
      <c r="AI6" s="25">
        <f>K6/0.04</f>
        <v>30.385117493472585</v>
      </c>
      <c r="AJ6" s="25">
        <f>L6/0.0405</f>
        <v>26.502057613168716</v>
      </c>
      <c r="AK6" s="25">
        <f>M6/0.072</f>
        <v>13.742381622128459</v>
      </c>
      <c r="AL6" s="25">
        <f>N6/0.0564</f>
        <v>15.732759281599655</v>
      </c>
      <c r="AM6" s="25">
        <f>O6/0.051</f>
        <v>7.7875121679877601</v>
      </c>
      <c r="AN6" s="25">
        <f t="shared" ref="AN6:AN7" si="14">P6/0.056</f>
        <v>6.5104166666666616</v>
      </c>
      <c r="AO6" s="25">
        <f t="shared" ref="AO6:AO7" si="15">Q6/0.063</f>
        <v>4.3522785458269357</v>
      </c>
      <c r="AR6" s="38">
        <f t="shared" ref="AR6:AR7" si="16">AI6/6.31</f>
        <v>4.8153910449243398</v>
      </c>
      <c r="AS6" s="38">
        <f t="shared" ref="AS6:AS7" si="17">AJ6/3.1</f>
        <v>8.5490508429576497</v>
      </c>
      <c r="AT6" s="38">
        <f t="shared" ref="AT6:AT7" si="18">AK6/1.53</f>
        <v>8.981948772632979</v>
      </c>
      <c r="AU6" s="38">
        <f t="shared" ref="AU6:AU7" si="19">AL6/1.03</f>
        <v>15.274523574368597</v>
      </c>
      <c r="AV6" s="38">
        <f t="shared" ref="AV6:AV7" si="20">AM6/0.712</f>
        <v>10.93751708987045</v>
      </c>
      <c r="AW6" s="38">
        <f t="shared" ref="AW6:AW7" si="21">AN6/0.363</f>
        <v>17.935032139577579</v>
      </c>
      <c r="AX6" s="38">
        <f t="shared" ref="AX6:AX7" si="22">AO6/0.292</f>
        <v>14.905063513105945</v>
      </c>
      <c r="AZ6" t="s">
        <v>104</v>
      </c>
      <c r="BB6" s="3">
        <v>59.2</v>
      </c>
      <c r="BC6" s="3">
        <v>42.99</v>
      </c>
      <c r="BD6" s="3">
        <v>44.59</v>
      </c>
      <c r="BE6" s="3">
        <v>27.93</v>
      </c>
      <c r="BF6" s="3">
        <v>15.21</v>
      </c>
      <c r="BG6" s="3">
        <v>6.21</v>
      </c>
      <c r="BH6" s="3">
        <v>4.84</v>
      </c>
    </row>
    <row r="7" spans="1:61">
      <c r="A7" t="s">
        <v>111</v>
      </c>
      <c r="B7" s="28">
        <v>33.420365535248038</v>
      </c>
      <c r="C7" s="28">
        <v>31.333333333333343</v>
      </c>
      <c r="D7" s="28">
        <v>30.379746835443044</v>
      </c>
      <c r="E7" s="28">
        <v>28.873339615014643</v>
      </c>
      <c r="F7" s="28">
        <v>11.347517730496449</v>
      </c>
      <c r="G7" s="28">
        <v>10.416666666666657</v>
      </c>
      <c r="H7" s="28">
        <v>4.7619047619047734</v>
      </c>
      <c r="K7" s="23">
        <f>(B7/100)*3.5</f>
        <v>1.1697127937336813</v>
      </c>
      <c r="L7" s="23">
        <f t="shared" si="0"/>
        <v>1.0966666666666669</v>
      </c>
      <c r="M7" s="23">
        <f t="shared" si="0"/>
        <v>1.0632911392405067</v>
      </c>
      <c r="N7" s="23">
        <f t="shared" si="0"/>
        <v>1.0105668865255124</v>
      </c>
      <c r="O7" s="23">
        <f t="shared" si="0"/>
        <v>0.39716312056737574</v>
      </c>
      <c r="P7" s="23">
        <f t="shared" si="0"/>
        <v>0.36458333333333304</v>
      </c>
      <c r="Q7" s="23">
        <f t="shared" si="0"/>
        <v>0.16666666666666707</v>
      </c>
      <c r="S7" s="24">
        <f t="shared" si="1"/>
        <v>1.1697127937336813</v>
      </c>
      <c r="T7" s="24">
        <f t="shared" si="2"/>
        <v>2.1933333333333338</v>
      </c>
      <c r="U7" s="24">
        <f t="shared" si="2"/>
        <v>2.1265822784810133</v>
      </c>
      <c r="V7" s="24">
        <f t="shared" si="3"/>
        <v>4.3937690718500537</v>
      </c>
      <c r="W7" s="24">
        <f t="shared" si="4"/>
        <v>2.8368794326241122</v>
      </c>
      <c r="X7" s="24">
        <f t="shared" si="5"/>
        <v>3.6458333333333304</v>
      </c>
      <c r="Y7" s="24">
        <f t="shared" si="6"/>
        <v>1.6666666666666707</v>
      </c>
      <c r="AA7" s="38">
        <f t="shared" si="7"/>
        <v>4.6417174354511159</v>
      </c>
      <c r="AB7" s="38">
        <f t="shared" si="8"/>
        <v>4.6602103336003236</v>
      </c>
      <c r="AC7" s="38">
        <f t="shared" si="9"/>
        <v>9.9696969696969724</v>
      </c>
      <c r="AD7" s="38">
        <f t="shared" si="10"/>
        <v>7.383966244725741</v>
      </c>
      <c r="AE7" s="38">
        <f t="shared" si="11"/>
        <v>17.163160436914271</v>
      </c>
      <c r="AF7" s="38">
        <f t="shared" si="12"/>
        <v>13.906271728549571</v>
      </c>
      <c r="AG7" s="38">
        <f t="shared" si="13"/>
        <v>19.814311594202884</v>
      </c>
      <c r="AI7" s="25">
        <f>K7/0.04</f>
        <v>29.242819843342033</v>
      </c>
      <c r="AJ7" s="25">
        <f>L7/0.0405</f>
        <v>27.078189300411527</v>
      </c>
      <c r="AK7" s="25">
        <f>M7/0.072</f>
        <v>14.767932489451482</v>
      </c>
      <c r="AL7" s="25">
        <f>N7/0.0564</f>
        <v>17.917852597970079</v>
      </c>
      <c r="AM7" s="25">
        <f>O7/0.051</f>
        <v>7.7875121679877601</v>
      </c>
      <c r="AN7" s="25">
        <f t="shared" si="14"/>
        <v>6.5104166666666616</v>
      </c>
      <c r="AO7" s="25">
        <f t="shared" si="15"/>
        <v>2.6455026455026518</v>
      </c>
      <c r="AR7" s="38">
        <f t="shared" si="16"/>
        <v>4.6343613063933491</v>
      </c>
      <c r="AS7" s="38">
        <f t="shared" si="17"/>
        <v>8.7348997743262995</v>
      </c>
      <c r="AT7" s="38">
        <f t="shared" si="18"/>
        <v>9.6522434571578319</v>
      </c>
      <c r="AU7" s="38">
        <f t="shared" si="19"/>
        <v>17.395973396087456</v>
      </c>
      <c r="AV7" s="38">
        <f t="shared" si="20"/>
        <v>10.93751708987045</v>
      </c>
      <c r="AW7" s="38">
        <f t="shared" si="21"/>
        <v>17.935032139577579</v>
      </c>
      <c r="AX7" s="38">
        <f t="shared" si="22"/>
        <v>9.0599405667899031</v>
      </c>
      <c r="AZ7" t="s">
        <v>105</v>
      </c>
      <c r="BB7">
        <f>BB4+BB5+BB6</f>
        <v>100</v>
      </c>
      <c r="BC7">
        <f t="shared" ref="BC7:BH7" si="23">BC4+BC5+BC6</f>
        <v>100</v>
      </c>
      <c r="BD7">
        <f t="shared" si="23"/>
        <v>100</v>
      </c>
      <c r="BE7">
        <f t="shared" si="23"/>
        <v>100</v>
      </c>
      <c r="BF7">
        <f t="shared" si="23"/>
        <v>100</v>
      </c>
      <c r="BG7">
        <f t="shared" si="23"/>
        <v>99.999999999999986</v>
      </c>
      <c r="BH7">
        <f t="shared" si="23"/>
        <v>100</v>
      </c>
    </row>
    <row r="8" spans="1:61">
      <c r="AZ8" t="s">
        <v>106</v>
      </c>
    </row>
    <row r="9" spans="1:61">
      <c r="A9" t="s">
        <v>21</v>
      </c>
      <c r="B9">
        <f t="shared" ref="B9:H9" si="24">AVERAGE(B5:B7)</f>
        <v>34.000580214679424</v>
      </c>
      <c r="C9">
        <f t="shared" si="24"/>
        <v>31.111111111111114</v>
      </c>
      <c r="D9">
        <f t="shared" si="24"/>
        <v>29.442100328176281</v>
      </c>
      <c r="E9">
        <f t="shared" si="24"/>
        <v>27.699632347935673</v>
      </c>
      <c r="F9">
        <f t="shared" si="24"/>
        <v>13.238770685579192</v>
      </c>
      <c r="G9">
        <f t="shared" si="24"/>
        <v>11.111111111111105</v>
      </c>
      <c r="H9">
        <f t="shared" si="24"/>
        <v>9.1141833077316985</v>
      </c>
      <c r="J9" t="s">
        <v>21</v>
      </c>
      <c r="K9">
        <f t="shared" ref="K9:Q9" si="25">AVERAGE(K5:K7)</f>
        <v>1.1900203075137801</v>
      </c>
      <c r="L9">
        <f t="shared" si="25"/>
        <v>1.0888888888888888</v>
      </c>
      <c r="M9">
        <f t="shared" si="25"/>
        <v>1.0304735114861698</v>
      </c>
      <c r="N9">
        <f t="shared" si="25"/>
        <v>0.9694871321777484</v>
      </c>
      <c r="O9">
        <f t="shared" si="25"/>
        <v>0.46335697399527181</v>
      </c>
      <c r="P9">
        <f t="shared" si="25"/>
        <v>0.38888888888888867</v>
      </c>
      <c r="Q9">
        <f t="shared" si="25"/>
        <v>0.31899641577060944</v>
      </c>
      <c r="R9" t="s">
        <v>21</v>
      </c>
      <c r="S9">
        <f t="shared" ref="S9:Y9" si="26">AVERAGE(S5:S7)</f>
        <v>1.1900203075137801</v>
      </c>
      <c r="T9">
        <f t="shared" si="26"/>
        <v>2.1777777777777776</v>
      </c>
      <c r="U9">
        <f t="shared" si="26"/>
        <v>2.0609470229723397</v>
      </c>
      <c r="V9">
        <f t="shared" si="26"/>
        <v>4.2151614442510796</v>
      </c>
      <c r="W9">
        <f t="shared" si="26"/>
        <v>3.3096926713947981</v>
      </c>
      <c r="X9">
        <f t="shared" si="26"/>
        <v>3.8888888888888871</v>
      </c>
      <c r="Y9">
        <f t="shared" si="26"/>
        <v>3.1899641577060946</v>
      </c>
      <c r="Z9" t="s">
        <v>21</v>
      </c>
      <c r="AA9">
        <f t="shared" ref="AA9:AG9" si="27">AVERAGE(AA5:AA7)</f>
        <v>4.7223028075943647</v>
      </c>
      <c r="AB9">
        <f t="shared" si="27"/>
        <v>4.7411167630031068</v>
      </c>
      <c r="AC9">
        <f t="shared" si="27"/>
        <v>9.8989898989898997</v>
      </c>
      <c r="AD9">
        <f t="shared" si="27"/>
        <v>7.1560660519872918</v>
      </c>
      <c r="AE9">
        <f t="shared" si="27"/>
        <v>16.465474391605781</v>
      </c>
      <c r="AF9">
        <f t="shared" si="27"/>
        <v>16.223983683307832</v>
      </c>
      <c r="AG9">
        <f t="shared" si="27"/>
        <v>21.135265700483082</v>
      </c>
      <c r="AH9" t="s">
        <v>21</v>
      </c>
      <c r="AI9">
        <f t="shared" ref="AI9:AO9" si="28">AVERAGE(AI5:AI7)</f>
        <v>29.7505076878445</v>
      </c>
      <c r="AJ9">
        <f t="shared" si="28"/>
        <v>26.886145404663921</v>
      </c>
      <c r="AK9">
        <f t="shared" si="28"/>
        <v>14.312132103974584</v>
      </c>
      <c r="AL9">
        <f t="shared" si="28"/>
        <v>17.189488159179941</v>
      </c>
      <c r="AM9">
        <f t="shared" si="28"/>
        <v>9.0854308626523892</v>
      </c>
      <c r="AN9">
        <f t="shared" si="28"/>
        <v>6.9444444444444402</v>
      </c>
      <c r="AO9">
        <f t="shared" si="28"/>
        <v>5.0634351709620544</v>
      </c>
      <c r="AQ9" t="s">
        <v>21</v>
      </c>
      <c r="AR9">
        <f t="shared" ref="AR9:AX9" si="29">AVERAGE(AR5:AR7)</f>
        <v>4.7148189679626782</v>
      </c>
      <c r="AS9">
        <f t="shared" si="29"/>
        <v>8.6729501305367496</v>
      </c>
      <c r="AT9">
        <f t="shared" si="29"/>
        <v>9.3543347084801187</v>
      </c>
      <c r="AU9">
        <f t="shared" si="29"/>
        <v>16.688823455514505</v>
      </c>
      <c r="AV9">
        <f t="shared" si="29"/>
        <v>12.760436604848861</v>
      </c>
      <c r="AW9">
        <f t="shared" si="29"/>
        <v>19.130700948882758</v>
      </c>
      <c r="AX9">
        <f t="shared" si="29"/>
        <v>17.340531407404296</v>
      </c>
    </row>
    <row r="10" spans="1:61">
      <c r="S10" t="s">
        <v>115</v>
      </c>
      <c r="AA10" t="s">
        <v>115</v>
      </c>
      <c r="AI10" t="s">
        <v>115</v>
      </c>
      <c r="AR10" t="s">
        <v>115</v>
      </c>
      <c r="AZ10" t="s">
        <v>107</v>
      </c>
      <c r="BB10" s="6">
        <f t="shared" ref="BB10:BH10" si="30">BB1*((100-BB4)/100)</f>
        <v>0.25236790693177991</v>
      </c>
      <c r="BC10" s="6">
        <f t="shared" si="30"/>
        <v>0.2507287135970836</v>
      </c>
      <c r="BD10" s="6">
        <f t="shared" si="30"/>
        <v>0.21962084703222487</v>
      </c>
      <c r="BE10" s="6">
        <f t="shared" si="30"/>
        <v>0.2882066803866084</v>
      </c>
      <c r="BF10" s="6">
        <f t="shared" si="30"/>
        <v>0.25559524982017851</v>
      </c>
      <c r="BG10" s="6">
        <f t="shared" si="30"/>
        <v>0.20351893802112137</v>
      </c>
      <c r="BH10" s="6">
        <f t="shared" si="30"/>
        <v>0.18395903954802084</v>
      </c>
      <c r="BI10" t="s">
        <v>133</v>
      </c>
    </row>
    <row r="11" spans="1:61">
      <c r="S11">
        <f t="shared" ref="S11:Y11" si="31">STDEV(S5:S7)/SQRT(3)</f>
        <v>1.3432157802039622E-2</v>
      </c>
      <c r="T11">
        <f t="shared" si="31"/>
        <v>1.5555555555555914E-2</v>
      </c>
      <c r="U11">
        <f t="shared" si="31"/>
        <v>4.3413640828529859E-2</v>
      </c>
      <c r="V11">
        <f t="shared" si="31"/>
        <v>0.17860762759897408</v>
      </c>
      <c r="W11">
        <f t="shared" si="31"/>
        <v>0.47281323877068449</v>
      </c>
      <c r="X11">
        <f t="shared" si="31"/>
        <v>0.24305555555555575</v>
      </c>
      <c r="Y11">
        <f t="shared" si="31"/>
        <v>1.0333837450421841</v>
      </c>
      <c r="AA11">
        <f t="shared" ref="AA11:AG11" si="32">STDEV(AA5:AA7)/SQRT(3)</f>
        <v>5.3302213500128114E-2</v>
      </c>
      <c r="AB11">
        <f t="shared" si="32"/>
        <v>5.3514572916495869E-2</v>
      </c>
      <c r="AC11">
        <f t="shared" si="32"/>
        <v>7.0707070707108258E-2</v>
      </c>
      <c r="AD11">
        <f t="shared" si="32"/>
        <v>0.15074180843240298</v>
      </c>
      <c r="AE11">
        <f t="shared" si="32"/>
        <v>0.69768604530848655</v>
      </c>
      <c r="AF11">
        <f t="shared" si="32"/>
        <v>2.3177119547582641</v>
      </c>
      <c r="AG11">
        <f t="shared" si="32"/>
        <v>1.320954106280211</v>
      </c>
      <c r="AI11">
        <f t="shared" ref="AI11:AO11" si="33">STDEV(AI5:AI7)/SQRT(3)</f>
        <v>0.33580394505103628</v>
      </c>
      <c r="AJ11">
        <f t="shared" si="33"/>
        <v>0.19204389574768554</v>
      </c>
      <c r="AK11">
        <f t="shared" si="33"/>
        <v>0.30148361686480596</v>
      </c>
      <c r="AL11">
        <f t="shared" si="33"/>
        <v>0.72836443879011092</v>
      </c>
      <c r="AM11">
        <f t="shared" si="33"/>
        <v>1.2979186946646271</v>
      </c>
      <c r="AN11">
        <f t="shared" si="33"/>
        <v>0.43402777777778484</v>
      </c>
      <c r="AO11">
        <f t="shared" si="33"/>
        <v>1.6402916587971186</v>
      </c>
      <c r="AR11">
        <f t="shared" ref="AR11:AX11" si="34">STDEV(AR5:AR7)/SQRT(3)</f>
        <v>5.3217740895553221E-2</v>
      </c>
      <c r="AS11">
        <f t="shared" si="34"/>
        <v>6.1949643789519643E-2</v>
      </c>
      <c r="AT11">
        <f t="shared" si="34"/>
        <v>0.19704811559793486</v>
      </c>
      <c r="AU11">
        <f t="shared" si="34"/>
        <v>0.70714994057294223</v>
      </c>
      <c r="AV11">
        <f t="shared" si="34"/>
        <v>1.8229195149784114</v>
      </c>
      <c r="AW11">
        <f t="shared" si="34"/>
        <v>1.1956688093051755</v>
      </c>
      <c r="AX11">
        <f t="shared" si="34"/>
        <v>5.6174371876613609</v>
      </c>
      <c r="AZ11" t="s">
        <v>108</v>
      </c>
      <c r="BB11" s="6">
        <f t="shared" ref="BB11:BH11" si="35">BB1*((BB5)/100)</f>
        <v>9.0379615807835753E-2</v>
      </c>
      <c r="BC11" s="6">
        <f t="shared" si="35"/>
        <v>0.10960764266832447</v>
      </c>
      <c r="BD11" s="6">
        <f t="shared" si="35"/>
        <v>0.11984607811559822</v>
      </c>
      <c r="BE11" s="6">
        <f t="shared" si="35"/>
        <v>0.20596707491870922</v>
      </c>
      <c r="BF11" s="6">
        <f t="shared" si="35"/>
        <v>0.21671921232252939</v>
      </c>
      <c r="BG11" s="6">
        <f t="shared" si="35"/>
        <v>0.19041115327613933</v>
      </c>
      <c r="BH11" s="6">
        <f t="shared" si="35"/>
        <v>0.17445677966101525</v>
      </c>
      <c r="BI11" t="s">
        <v>133</v>
      </c>
    </row>
    <row r="12" spans="1:61">
      <c r="AZ12" t="s">
        <v>140</v>
      </c>
      <c r="BB12" s="6">
        <f t="shared" ref="BB12:BH12" si="36">BB1*((BB6)/100)</f>
        <v>0.16198829112394419</v>
      </c>
      <c r="BC12" s="6">
        <f t="shared" si="36"/>
        <v>0.14112107092875917</v>
      </c>
      <c r="BD12" s="6">
        <f t="shared" si="36"/>
        <v>9.9774768916626663E-2</v>
      </c>
      <c r="BE12" s="6">
        <f t="shared" si="36"/>
        <v>8.2239605467899199E-2</v>
      </c>
      <c r="BF12" s="6">
        <f t="shared" si="36"/>
        <v>3.8876037497649153E-2</v>
      </c>
      <c r="BG12" s="6">
        <f t="shared" si="36"/>
        <v>1.3107784744981992E-2</v>
      </c>
      <c r="BH12" s="6">
        <f t="shared" si="36"/>
        <v>9.5022598870055583E-3</v>
      </c>
      <c r="BI12" t="s">
        <v>133</v>
      </c>
    </row>
    <row r="14" spans="1:61">
      <c r="AZ14" t="s">
        <v>138</v>
      </c>
      <c r="BB14" s="41">
        <v>6.3091976732944977</v>
      </c>
      <c r="BC14" s="41">
        <v>3.0954162172479456</v>
      </c>
      <c r="BD14" s="41">
        <v>1.5251447710571173</v>
      </c>
      <c r="BE14" s="41">
        <v>1.0329988544322881</v>
      </c>
      <c r="BF14" s="41">
        <v>0.71196448417877023</v>
      </c>
      <c r="BG14" s="41">
        <v>0.36342667503771675</v>
      </c>
      <c r="BH14" s="41">
        <v>0.29199847547304852</v>
      </c>
      <c r="BI14" t="s">
        <v>137</v>
      </c>
    </row>
    <row r="15" spans="1:61">
      <c r="AA15" t="s">
        <v>118</v>
      </c>
      <c r="AR15" t="s">
        <v>118</v>
      </c>
      <c r="AZ15" t="s">
        <v>139</v>
      </c>
      <c r="BB15" s="41">
        <v>2.2594903951958933</v>
      </c>
      <c r="BC15" s="41">
        <v>1.3531807736830179</v>
      </c>
      <c r="BD15" s="41">
        <v>0.83226443135832096</v>
      </c>
      <c r="BE15" s="41">
        <v>0.73823324343623375</v>
      </c>
      <c r="BF15" s="41">
        <v>0.60367468613517938</v>
      </c>
      <c r="BG15" s="41">
        <v>0.34001991656453467</v>
      </c>
      <c r="BH15" s="41">
        <v>0.27691552327145236</v>
      </c>
      <c r="BI15" t="s">
        <v>137</v>
      </c>
    </row>
    <row r="16" spans="1:61">
      <c r="AA16" s="19">
        <f>S5/0.0904</f>
        <v>13.107781295008353</v>
      </c>
      <c r="AB16" s="19">
        <f>T5/0.109608</f>
        <v>20.010704814733721</v>
      </c>
      <c r="AC16" s="19">
        <f>U5/0.12</f>
        <v>17.31129864041257</v>
      </c>
      <c r="AD16" s="19">
        <f>V5/0.206</f>
        <v>21.328976076942009</v>
      </c>
      <c r="AE16" s="19">
        <f>W5/0.217</f>
        <v>19.609765663300319</v>
      </c>
      <c r="AF16" s="19">
        <f>X5/0.19</f>
        <v>23.026315789473685</v>
      </c>
      <c r="AG16" s="19">
        <f>Y5/0.174</f>
        <v>29.662588060808293</v>
      </c>
      <c r="AR16" s="19">
        <f>AI5/2.26</f>
        <v>13.107781295008353</v>
      </c>
      <c r="AS16" s="19">
        <f>AJ5/1.353</f>
        <v>20.013443681013694</v>
      </c>
      <c r="AT16" s="19">
        <f>AK5/0.832</f>
        <v>17.339041106182464</v>
      </c>
      <c r="AU16" s="19">
        <f>AL5/0.738</f>
        <v>24.278933059580051</v>
      </c>
      <c r="AV16" s="19">
        <f>AM5/0.604</f>
        <v>19.339848099307357</v>
      </c>
      <c r="AW16" s="19">
        <f>AN5/0.34</f>
        <v>22.977941176470587</v>
      </c>
      <c r="AX16" s="19">
        <f>AO5/0.278</f>
        <v>29.469511948045234</v>
      </c>
      <c r="AZ16" t="s">
        <v>142</v>
      </c>
      <c r="BB16" s="41">
        <v>4.0497072780986052</v>
      </c>
      <c r="BC16" s="41">
        <v>1.7422354435649279</v>
      </c>
      <c r="BD16" s="41">
        <v>0.69288033969879637</v>
      </c>
      <c r="BE16" s="41">
        <v>0.29476561099605442</v>
      </c>
      <c r="BF16" s="41">
        <v>0.10828979804359096</v>
      </c>
      <c r="BG16" s="41">
        <v>2.3406758473182132E-2</v>
      </c>
      <c r="BH16" s="41">
        <v>1.5082952201596103E-2</v>
      </c>
      <c r="BI16" t="s">
        <v>137</v>
      </c>
    </row>
    <row r="17" spans="26:50">
      <c r="AA17" s="19">
        <f t="shared" ref="AA17:AA18" si="37">S6/0.0904</f>
        <v>13.444742253748933</v>
      </c>
      <c r="AB17" s="19">
        <f t="shared" ref="AB17:AB18" si="38">T6/0.109608</f>
        <v>19.584945137824484</v>
      </c>
      <c r="AC17" s="19">
        <f>U6/0.12</f>
        <v>16.490857946554151</v>
      </c>
      <c r="AD17" s="19">
        <f t="shared" ref="AD17:AD18" si="39">V6/0.206</f>
        <v>18.727894121617148</v>
      </c>
      <c r="AE17" s="19">
        <f t="shared" ref="AE17:AE18" si="40">W6/0.217</f>
        <v>13.073177108866878</v>
      </c>
      <c r="AF17" s="19">
        <f t="shared" ref="AF17:AF18" si="41">X6/0.19</f>
        <v>19.188596491228054</v>
      </c>
      <c r="AG17" s="19">
        <f t="shared" ref="AG17:AG18" si="42">Y6/0.174</f>
        <v>15.758249907304425</v>
      </c>
      <c r="AR17" s="19">
        <f t="shared" ref="AR17:AR18" si="43">AI6/2.26</f>
        <v>13.444742253748933</v>
      </c>
      <c r="AS17" s="19">
        <f t="shared" ref="AS17:AS18" si="44">AJ6/1.353</f>
        <v>19.587625730353817</v>
      </c>
      <c r="AT17" s="19">
        <f t="shared" ref="AT17:AT18" si="45">AK6/0.832</f>
        <v>16.517285603519785</v>
      </c>
      <c r="AU17" s="19">
        <f t="shared" ref="AU17:AU18" si="46">AL6/0.738</f>
        <v>21.318102007587608</v>
      </c>
      <c r="AV17" s="19">
        <f t="shared" ref="AV17:AV18" si="47">AM6/0.604</f>
        <v>12.8932320662049</v>
      </c>
      <c r="AW17" s="19">
        <f t="shared" ref="AW17:AW18" si="48">AN6/0.34</f>
        <v>19.148284313725473</v>
      </c>
      <c r="AX17" s="19">
        <f t="shared" ref="AX17:AX18" si="49">AO6/0.278</f>
        <v>15.655678222399048</v>
      </c>
    </row>
    <row r="18" spans="26:50">
      <c r="AA18" s="19">
        <f t="shared" si="37"/>
        <v>12.939300815638068</v>
      </c>
      <c r="AB18" s="19">
        <f t="shared" si="38"/>
        <v>20.010704814733721</v>
      </c>
      <c r="AC18" s="19">
        <f>U7/0.12</f>
        <v>17.721518987341778</v>
      </c>
      <c r="AD18" s="19">
        <f t="shared" si="39"/>
        <v>21.328976076942009</v>
      </c>
      <c r="AE18" s="19">
        <f t="shared" si="40"/>
        <v>13.073177108866878</v>
      </c>
      <c r="AF18" s="19">
        <f t="shared" si="41"/>
        <v>19.188596491228054</v>
      </c>
      <c r="AG18" s="19">
        <f t="shared" si="42"/>
        <v>9.578544061302706</v>
      </c>
      <c r="AR18" s="19">
        <f t="shared" si="43"/>
        <v>12.939300815638068</v>
      </c>
      <c r="AS18" s="19">
        <f t="shared" si="44"/>
        <v>20.013443681013694</v>
      </c>
      <c r="AT18" s="19">
        <f t="shared" si="45"/>
        <v>17.749918857513801</v>
      </c>
      <c r="AU18" s="19">
        <f t="shared" si="46"/>
        <v>24.278933059580051</v>
      </c>
      <c r="AV18" s="19">
        <f t="shared" si="47"/>
        <v>12.8932320662049</v>
      </c>
      <c r="AW18" s="19">
        <f t="shared" si="48"/>
        <v>19.148284313725473</v>
      </c>
      <c r="AX18" s="19">
        <f t="shared" si="49"/>
        <v>9.5161965665563013</v>
      </c>
    </row>
    <row r="20" spans="26:50">
      <c r="Z20" t="s">
        <v>21</v>
      </c>
      <c r="AA20">
        <f t="shared" ref="AA20:AG20" si="50">AVERAGE(AA16:AA18)</f>
        <v>13.163941454798453</v>
      </c>
      <c r="AB20">
        <f t="shared" si="50"/>
        <v>19.868784922430642</v>
      </c>
      <c r="AC20">
        <f t="shared" si="50"/>
        <v>17.174558524769498</v>
      </c>
      <c r="AD20">
        <f t="shared" si="50"/>
        <v>20.461948758500387</v>
      </c>
      <c r="AE20">
        <f t="shared" si="50"/>
        <v>15.252039960344691</v>
      </c>
      <c r="AF20">
        <f t="shared" si="50"/>
        <v>20.46783625730993</v>
      </c>
      <c r="AG20">
        <f t="shared" si="50"/>
        <v>18.333127343138475</v>
      </c>
      <c r="AQ20" t="s">
        <v>21</v>
      </c>
      <c r="AR20">
        <f t="shared" ref="AR20:AX20" si="51">AVERAGE(AR16:AR18)</f>
        <v>13.163941454798453</v>
      </c>
      <c r="AS20">
        <f t="shared" si="51"/>
        <v>19.871504364127066</v>
      </c>
      <c r="AT20">
        <f t="shared" si="51"/>
        <v>17.202081855738683</v>
      </c>
      <c r="AU20">
        <f t="shared" si="51"/>
        <v>23.29198937558257</v>
      </c>
      <c r="AV20">
        <f t="shared" si="51"/>
        <v>15.042104077239053</v>
      </c>
      <c r="AW20">
        <f t="shared" si="51"/>
        <v>20.424836601307177</v>
      </c>
      <c r="AX20">
        <f t="shared" si="51"/>
        <v>18.213795579000195</v>
      </c>
    </row>
    <row r="21" spans="26:50">
      <c r="AA21" t="s">
        <v>115</v>
      </c>
      <c r="AR21" t="s">
        <v>115</v>
      </c>
    </row>
    <row r="22" spans="26:50">
      <c r="AA22">
        <f t="shared" ref="AA22:AG22" si="52">STDEV(AA16:AA18)/SQRT(3)</f>
        <v>0.14858581639420892</v>
      </c>
      <c r="AB22">
        <f t="shared" si="52"/>
        <v>0.14191989230293545</v>
      </c>
      <c r="AC22">
        <f t="shared" si="52"/>
        <v>0.3617803402377619</v>
      </c>
      <c r="AD22">
        <f t="shared" si="52"/>
        <v>0.86702731844161052</v>
      </c>
      <c r="AE22">
        <f t="shared" si="52"/>
        <v>2.1788628514778123</v>
      </c>
      <c r="AF22">
        <f t="shared" si="52"/>
        <v>1.2792397660818609</v>
      </c>
      <c r="AG22">
        <f t="shared" si="52"/>
        <v>5.9389870404723206</v>
      </c>
      <c r="AR22">
        <f t="shared" ref="AR22:AX22" si="53">STDEV(AR16:AR18)/SQRT(3)</f>
        <v>0.14858581639420892</v>
      </c>
      <c r="AS22">
        <f t="shared" si="53"/>
        <v>0.1419393168866995</v>
      </c>
      <c r="AT22">
        <f t="shared" si="53"/>
        <v>0.36236011642406657</v>
      </c>
      <c r="AU22">
        <f t="shared" si="53"/>
        <v>0.98694368399748822</v>
      </c>
      <c r="AV22">
        <f t="shared" si="53"/>
        <v>2.1488720110341548</v>
      </c>
      <c r="AW22">
        <f t="shared" si="53"/>
        <v>1.276552287581707</v>
      </c>
      <c r="AX22">
        <f t="shared" si="53"/>
        <v>5.9003297079032979</v>
      </c>
    </row>
    <row r="24" spans="26:50">
      <c r="AA24" t="s">
        <v>141</v>
      </c>
      <c r="AR24" t="s">
        <v>141</v>
      </c>
    </row>
    <row r="25" spans="26:50">
      <c r="AA25" s="18">
        <f>S5/0.162</f>
        <v>7.3144656115355247</v>
      </c>
      <c r="AB25" s="18">
        <f>T5/0.141</f>
        <v>15.555555555555561</v>
      </c>
      <c r="AC25" s="18">
        <f>U5/0.1</f>
        <v>20.773558368495081</v>
      </c>
      <c r="AD25" s="18">
        <f>V5/0.082</f>
        <v>53.582549656707968</v>
      </c>
      <c r="AE25" s="18">
        <f>W5/0.039</f>
        <v>109.11074740861973</v>
      </c>
      <c r="AF25" s="18">
        <f>X5/0.0131</f>
        <v>333.96946564885496</v>
      </c>
      <c r="AG25" s="18">
        <f>Y5/0.0095</f>
        <v>543.29371816638343</v>
      </c>
      <c r="AR25" s="18">
        <f>AI5/4.05</f>
        <v>7.3144656115355255</v>
      </c>
      <c r="AS25" s="18">
        <f>AJ5/1.742</f>
        <v>15.544310735023839</v>
      </c>
      <c r="AT25" s="18">
        <f>AK5/0.693</f>
        <v>20.816857431953547</v>
      </c>
      <c r="AU25" s="18">
        <f>AL5/0.295</f>
        <v>60.738483382949426</v>
      </c>
      <c r="AV25" s="18">
        <f>AM5/0.108</f>
        <v>108.15989122205225</v>
      </c>
      <c r="AW25" s="18">
        <f>AN5/0.023</f>
        <v>339.67391304347825</v>
      </c>
      <c r="AX25" s="18">
        <f>AO5/0.015</f>
        <v>546.16828810377172</v>
      </c>
    </row>
    <row r="26" spans="26:50">
      <c r="AA26" s="18">
        <f t="shared" ref="AA26:AA27" si="54">S6/0.162</f>
        <v>7.5024981465364409</v>
      </c>
      <c r="AB26" s="18">
        <f t="shared" ref="AB26:AB27" si="55">T6/0.141</f>
        <v>15.224586288416074</v>
      </c>
      <c r="AC26" s="18">
        <f t="shared" ref="AC26:AC27" si="56">U6/0.1</f>
        <v>19.789029535864977</v>
      </c>
      <c r="AD26" s="18">
        <f t="shared" ref="AD26:AD27" si="57">V6/0.082</f>
        <v>47.048124256745517</v>
      </c>
      <c r="AE26" s="18">
        <f t="shared" ref="AE26:AE27" si="58">W6/0.039</f>
        <v>72.740498272413134</v>
      </c>
      <c r="AF26" s="18">
        <f t="shared" ref="AF26:AF27" si="59">X6/0.0131</f>
        <v>278.30788804071221</v>
      </c>
      <c r="AG26" s="18">
        <f t="shared" ref="AG26:AG27" si="60">Y6/0.0095</f>
        <v>288.62478777589155</v>
      </c>
      <c r="AR26" s="18">
        <f t="shared" ref="AR26:AR27" si="61">AI6/4.05</f>
        <v>7.5024981465364409</v>
      </c>
      <c r="AS26" s="18">
        <f t="shared" ref="AS26:AS27" si="62">AJ6/1.742</f>
        <v>15.213580719385027</v>
      </c>
      <c r="AT26" s="18">
        <f t="shared" ref="AT26:AT27" si="63">AK6/0.693</f>
        <v>19.830276511007877</v>
      </c>
      <c r="AU26" s="18">
        <f t="shared" ref="AU26:AU27" si="64">AL6/0.295</f>
        <v>53.331387395253074</v>
      </c>
      <c r="AV26" s="18">
        <f t="shared" ref="AV26:AV27" si="65">AM6/0.108</f>
        <v>72.106594148034816</v>
      </c>
      <c r="AW26" s="18">
        <f t="shared" ref="AW26:AW27" si="66">AN6/0.023</f>
        <v>283.06159420289833</v>
      </c>
      <c r="AX26" s="18">
        <f t="shared" ref="AX26:AX27" si="67">AO6/0.015</f>
        <v>290.15190305512908</v>
      </c>
    </row>
    <row r="27" spans="26:50">
      <c r="AA27" s="18">
        <f t="shared" si="54"/>
        <v>7.2204493440350692</v>
      </c>
      <c r="AB27" s="18">
        <f t="shared" si="55"/>
        <v>15.555555555555561</v>
      </c>
      <c r="AC27" s="18">
        <f t="shared" si="56"/>
        <v>21.265822784810133</v>
      </c>
      <c r="AD27" s="18">
        <f t="shared" si="57"/>
        <v>53.582549656707968</v>
      </c>
      <c r="AE27" s="18">
        <f t="shared" si="58"/>
        <v>72.740498272413134</v>
      </c>
      <c r="AF27" s="18">
        <f t="shared" si="59"/>
        <v>278.30788804071221</v>
      </c>
      <c r="AG27" s="18">
        <f t="shared" si="60"/>
        <v>175.43859649122851</v>
      </c>
      <c r="AR27" s="18">
        <f t="shared" si="61"/>
        <v>7.2204493440350701</v>
      </c>
      <c r="AS27" s="18">
        <f t="shared" si="62"/>
        <v>15.544310735023839</v>
      </c>
      <c r="AT27" s="18">
        <f t="shared" si="63"/>
        <v>21.310147892426382</v>
      </c>
      <c r="AU27" s="18">
        <f t="shared" si="64"/>
        <v>60.738483382949426</v>
      </c>
      <c r="AV27" s="18">
        <f t="shared" si="65"/>
        <v>72.106594148034816</v>
      </c>
      <c r="AW27" s="18">
        <f t="shared" si="66"/>
        <v>283.06159420289833</v>
      </c>
      <c r="AX27" s="18">
        <f t="shared" si="67"/>
        <v>176.36684303351012</v>
      </c>
    </row>
    <row r="29" spans="26:50">
      <c r="Z29" t="s">
        <v>21</v>
      </c>
      <c r="AA29">
        <f t="shared" ref="AA29:AG29" si="68">AVERAGE(AA25:AA27)</f>
        <v>7.3458043673690119</v>
      </c>
      <c r="AB29">
        <f t="shared" si="68"/>
        <v>15.445232466509063</v>
      </c>
      <c r="AC29">
        <f t="shared" si="68"/>
        <v>20.609470229723396</v>
      </c>
      <c r="AD29">
        <f t="shared" si="68"/>
        <v>51.404407856720489</v>
      </c>
      <c r="AE29">
        <f t="shared" si="68"/>
        <v>84.863914651148676</v>
      </c>
      <c r="AF29">
        <f t="shared" si="68"/>
        <v>296.86174724342646</v>
      </c>
      <c r="AG29">
        <f t="shared" si="68"/>
        <v>335.78570081116783</v>
      </c>
      <c r="AQ29" t="s">
        <v>21</v>
      </c>
      <c r="AR29">
        <f t="shared" ref="AR29:AX29" si="69">AVERAGE(AR25:AR27)</f>
        <v>7.3458043673690128</v>
      </c>
      <c r="AS29">
        <f t="shared" si="69"/>
        <v>15.434067396477568</v>
      </c>
      <c r="AT29">
        <f t="shared" si="69"/>
        <v>20.6524272784626</v>
      </c>
      <c r="AU29">
        <f t="shared" si="69"/>
        <v>58.269451387050644</v>
      </c>
      <c r="AV29">
        <f t="shared" si="69"/>
        <v>84.124359839373966</v>
      </c>
      <c r="AW29">
        <f t="shared" si="69"/>
        <v>301.93236714975825</v>
      </c>
      <c r="AX29">
        <f t="shared" si="69"/>
        <v>337.56234473080366</v>
      </c>
    </row>
    <row r="30" spans="26:50">
      <c r="AA30" t="s">
        <v>115</v>
      </c>
      <c r="AR30" t="s">
        <v>115</v>
      </c>
    </row>
    <row r="31" spans="26:50">
      <c r="AA31">
        <f t="shared" ref="AA31:AG31" si="70">STDEV(AA25:AA27)/SQRT(3)</f>
        <v>8.2914554333576349E-2</v>
      </c>
      <c r="AB31">
        <f t="shared" si="70"/>
        <v>0.11032308904649704</v>
      </c>
      <c r="AC31">
        <f t="shared" si="70"/>
        <v>0.4341364082853299</v>
      </c>
      <c r="AD31">
        <f t="shared" si="70"/>
        <v>2.1781417999874808</v>
      </c>
      <c r="AE31">
        <f t="shared" si="70"/>
        <v>12.123416378735534</v>
      </c>
      <c r="AF31">
        <f t="shared" si="70"/>
        <v>18.553859202714026</v>
      </c>
      <c r="AG31">
        <f t="shared" si="70"/>
        <v>108.77723632022987</v>
      </c>
      <c r="AR31">
        <f t="shared" ref="AR31:AX31" si="71">STDEV(AR25:AR27)/SQRT(3)</f>
        <v>8.2914554333547788E-2</v>
      </c>
      <c r="AS31">
        <f t="shared" si="71"/>
        <v>0.11024333854625595</v>
      </c>
      <c r="AT31">
        <f t="shared" si="71"/>
        <v>0.43504129417724757</v>
      </c>
      <c r="AU31">
        <f t="shared" si="71"/>
        <v>2.4690319958988018</v>
      </c>
      <c r="AV31">
        <f t="shared" si="71"/>
        <v>12.017765691339125</v>
      </c>
      <c r="AW31">
        <f t="shared" si="71"/>
        <v>18.870772946860278</v>
      </c>
      <c r="AX31">
        <f t="shared" si="71"/>
        <v>109.35277725314116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"/>
  <sheetViews>
    <sheetView topLeftCell="C7" workbookViewId="0">
      <selection activeCell="T64" sqref="T64"/>
    </sheetView>
  </sheetViews>
  <sheetFormatPr defaultRowHeight="15"/>
  <cols>
    <col min="10" max="10" width="15.140625" bestFit="1" customWidth="1"/>
    <col min="11" max="11" width="13.28515625" customWidth="1"/>
    <col min="12" max="12" width="12.140625" customWidth="1"/>
    <col min="13" max="13" width="14.140625" customWidth="1"/>
  </cols>
  <sheetData>
    <row r="1" spans="1:16">
      <c r="A1" t="s">
        <v>0</v>
      </c>
      <c r="C1" s="1" t="s">
        <v>1</v>
      </c>
      <c r="D1" s="2"/>
      <c r="E1" s="2"/>
      <c r="F1" s="2"/>
    </row>
    <row r="2" spans="1:16">
      <c r="A2" s="9" t="s">
        <v>15</v>
      </c>
      <c r="C2" s="9">
        <v>6.3</v>
      </c>
      <c r="D2" s="9">
        <v>9.6999999999999993</v>
      </c>
      <c r="E2" s="9">
        <v>16.600000000000001</v>
      </c>
      <c r="F2" s="9">
        <v>18.3</v>
      </c>
      <c r="G2" s="9">
        <v>27.8</v>
      </c>
      <c r="H2" s="9">
        <v>38.9</v>
      </c>
      <c r="I2" s="9">
        <v>44.7</v>
      </c>
      <c r="J2" s="9">
        <v>24.9</v>
      </c>
      <c r="K2" s="9">
        <v>29.5</v>
      </c>
      <c r="L2" s="9">
        <v>52.5</v>
      </c>
      <c r="M2" s="9">
        <v>90.2</v>
      </c>
      <c r="N2" s="9">
        <v>49.6</v>
      </c>
      <c r="O2" s="9">
        <v>57</v>
      </c>
      <c r="P2" s="9">
        <v>67</v>
      </c>
    </row>
    <row r="3" spans="1:16">
      <c r="D3" t="s">
        <v>23</v>
      </c>
      <c r="E3" t="s">
        <v>24</v>
      </c>
      <c r="F3" t="s">
        <v>25</v>
      </c>
      <c r="G3" t="s">
        <v>119</v>
      </c>
      <c r="H3" t="s">
        <v>26</v>
      </c>
      <c r="I3" t="s">
        <v>120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  <c r="P3" t="s">
        <v>33</v>
      </c>
    </row>
    <row r="4" spans="1:16">
      <c r="A4" t="s">
        <v>41</v>
      </c>
      <c r="C4">
        <v>1</v>
      </c>
      <c r="D4">
        <v>0.5</v>
      </c>
      <c r="E4">
        <v>0.5</v>
      </c>
      <c r="F4">
        <v>0.23</v>
      </c>
      <c r="G4">
        <v>0.15</v>
      </c>
      <c r="H4">
        <v>0.1</v>
      </c>
      <c r="I4">
        <v>0.1</v>
      </c>
      <c r="O4">
        <v>0.1</v>
      </c>
      <c r="P4">
        <v>0.1</v>
      </c>
    </row>
    <row r="5" spans="1:16">
      <c r="A5">
        <v>300</v>
      </c>
      <c r="C5" s="19">
        <v>0.78328981723237234</v>
      </c>
      <c r="D5" s="19">
        <v>1.013837511987937</v>
      </c>
      <c r="E5" s="20">
        <v>1.2345679012345794</v>
      </c>
      <c r="F5" s="19">
        <v>0</v>
      </c>
      <c r="G5" s="19">
        <v>0</v>
      </c>
      <c r="H5" s="19">
        <v>0</v>
      </c>
      <c r="I5" s="19">
        <v>0</v>
      </c>
      <c r="J5" s="2">
        <v>0</v>
      </c>
      <c r="K5" s="2">
        <v>0</v>
      </c>
      <c r="L5" s="2">
        <v>0</v>
      </c>
      <c r="M5" s="2">
        <v>0</v>
      </c>
      <c r="N5" s="18">
        <v>0</v>
      </c>
      <c r="O5" s="21">
        <v>0</v>
      </c>
      <c r="P5" s="18">
        <v>0</v>
      </c>
    </row>
    <row r="6" spans="1:16">
      <c r="A6">
        <v>325</v>
      </c>
      <c r="C6" s="19">
        <v>5.1348999129677964</v>
      </c>
      <c r="D6" s="19">
        <v>2.2222222222222334</v>
      </c>
      <c r="E6" s="20">
        <v>2.7191748710736143</v>
      </c>
      <c r="F6" s="19">
        <v>3.5212626461089562</v>
      </c>
      <c r="G6" s="19">
        <v>1.7730496453900741</v>
      </c>
      <c r="H6" s="19">
        <v>1.0416666666666572</v>
      </c>
      <c r="I6" s="19">
        <v>0</v>
      </c>
      <c r="J6" s="2">
        <v>7.0167213627129286</v>
      </c>
      <c r="K6" s="2">
        <v>4.3303121852970845</v>
      </c>
      <c r="L6" s="2">
        <v>3.0732860520094554</v>
      </c>
      <c r="M6" s="2">
        <v>0.74074074074073815</v>
      </c>
      <c r="N6" s="18">
        <v>2.0413755308946357</v>
      </c>
      <c r="O6" s="21">
        <v>6.2222222222222285</v>
      </c>
      <c r="P6" s="18">
        <v>3.3195218364528265</v>
      </c>
    </row>
    <row r="7" spans="1:16">
      <c r="A7">
        <v>340</v>
      </c>
      <c r="C7" s="19"/>
      <c r="D7" s="19"/>
      <c r="E7" s="29"/>
      <c r="F7" s="19"/>
      <c r="G7" s="19"/>
      <c r="H7" s="19"/>
      <c r="I7" s="19"/>
      <c r="J7" s="2"/>
      <c r="K7" s="2"/>
      <c r="L7" s="2"/>
      <c r="M7" s="2"/>
      <c r="N7" s="18"/>
      <c r="O7" s="30"/>
      <c r="P7" s="18"/>
    </row>
    <row r="8" spans="1:16">
      <c r="A8">
        <v>350</v>
      </c>
      <c r="C8" s="19">
        <v>10.139251523063528</v>
      </c>
      <c r="D8" s="19">
        <v>5.5555555555555616</v>
      </c>
      <c r="E8" s="20">
        <v>4.5944678856071306</v>
      </c>
      <c r="F8" s="19">
        <v>5.3991942734353033</v>
      </c>
      <c r="G8" s="19">
        <v>3.3096926713947945</v>
      </c>
      <c r="H8" s="19">
        <v>0.69444444444442865</v>
      </c>
      <c r="I8" s="19">
        <v>2.0737327188940142</v>
      </c>
      <c r="J8" s="2">
        <v>16.914101161639849</v>
      </c>
      <c r="K8" s="2">
        <v>17.99741044454035</v>
      </c>
      <c r="L8" s="2">
        <v>8.2742316784869985</v>
      </c>
      <c r="M8" s="2">
        <v>3.4567901234567842</v>
      </c>
      <c r="N8" s="18">
        <v>13.001781065899431</v>
      </c>
      <c r="O8" s="21">
        <v>14.444444444444448</v>
      </c>
      <c r="P8" s="18">
        <v>5.2245558889365213</v>
      </c>
    </row>
    <row r="9" spans="1:16">
      <c r="A9">
        <v>360</v>
      </c>
      <c r="C9" s="19"/>
      <c r="D9" s="19"/>
      <c r="E9" s="29"/>
      <c r="F9" s="19"/>
      <c r="G9" s="19"/>
      <c r="H9" s="19"/>
      <c r="I9" s="19"/>
      <c r="J9" s="2"/>
      <c r="K9" s="2"/>
      <c r="L9" s="2"/>
      <c r="M9" s="2"/>
      <c r="N9" s="18"/>
      <c r="O9" s="30"/>
      <c r="P9" s="18"/>
    </row>
    <row r="10" spans="1:16">
      <c r="A10">
        <v>375</v>
      </c>
      <c r="C10" s="19">
        <v>19.06005221932114</v>
      </c>
      <c r="D10" s="19">
        <v>15.11111111111112</v>
      </c>
      <c r="E10" s="20">
        <v>10.923581809657767</v>
      </c>
      <c r="F10" s="19">
        <v>18.309974211303938</v>
      </c>
      <c r="G10" s="19">
        <v>6.9148936170212743</v>
      </c>
      <c r="H10" s="19">
        <v>8.5648148148148238</v>
      </c>
      <c r="I10" s="19">
        <v>3.225806451612911</v>
      </c>
      <c r="J10" s="2">
        <v>43.018440381309581</v>
      </c>
      <c r="K10" s="2">
        <v>46.338656308444826</v>
      </c>
      <c r="L10" s="2">
        <v>27.375886524822693</v>
      </c>
      <c r="M10" s="2">
        <v>17.283950617283949</v>
      </c>
      <c r="N10" s="18">
        <v>42.914554505183354</v>
      </c>
      <c r="O10" s="21">
        <v>28.444444444444446</v>
      </c>
      <c r="P10" s="18">
        <v>16.17850169071772</v>
      </c>
    </row>
    <row r="11" spans="1:16">
      <c r="A11">
        <v>390</v>
      </c>
      <c r="C11" s="19">
        <v>27.545691906005224</v>
      </c>
      <c r="D11" s="19">
        <v>22.888888888888903</v>
      </c>
      <c r="E11" s="20">
        <v>21.003281762775433</v>
      </c>
      <c r="F11" s="19">
        <v>23.943769093282977</v>
      </c>
      <c r="G11" s="19">
        <v>10.401891252955082</v>
      </c>
      <c r="H11" s="19">
        <v>10.879629629629633</v>
      </c>
      <c r="I11" s="19">
        <v>6.2980030721966216</v>
      </c>
      <c r="J11" s="2">
        <v>64.955461790904835</v>
      </c>
      <c r="K11" s="2">
        <v>58.734954203232149</v>
      </c>
      <c r="L11" s="2">
        <v>40.567375886524822</v>
      </c>
      <c r="M11" s="2">
        <v>26.790123456790131</v>
      </c>
      <c r="N11" s="18">
        <v>57.437091839064713</v>
      </c>
      <c r="O11" s="21">
        <v>45.955555555555556</v>
      </c>
      <c r="P11" s="18">
        <v>18.321664999761868</v>
      </c>
    </row>
    <row r="12" spans="1:16">
      <c r="A12">
        <v>400</v>
      </c>
      <c r="C12" s="19">
        <v>34.000580214679424</v>
      </c>
      <c r="D12" s="19">
        <v>31.111111111111114</v>
      </c>
      <c r="E12" s="20">
        <v>29.442100328176281</v>
      </c>
      <c r="F12" s="19">
        <v>27.699632347935673</v>
      </c>
      <c r="G12" s="19">
        <v>13.238770685579192</v>
      </c>
      <c r="H12" s="19">
        <v>11.111111111111105</v>
      </c>
      <c r="I12" s="19">
        <v>9.1141833077317003</v>
      </c>
      <c r="J12" s="2">
        <v>81.377298536229617</v>
      </c>
      <c r="K12" s="2">
        <v>69.380904426221647</v>
      </c>
      <c r="L12" s="2">
        <v>46.43026004728133</v>
      </c>
      <c r="M12" s="2">
        <v>34.691358024691361</v>
      </c>
      <c r="N12" s="18">
        <v>66.525094761839512</v>
      </c>
      <c r="O12" s="21">
        <v>63.177777777777784</v>
      </c>
      <c r="P12" s="18">
        <v>18.321664999761865</v>
      </c>
    </row>
    <row r="13" spans="1:16">
      <c r="A13">
        <v>410</v>
      </c>
      <c r="C13" s="19">
        <v>47.345517841601392</v>
      </c>
      <c r="D13" s="19">
        <v>40.200000000000003</v>
      </c>
      <c r="E13" s="20">
        <v>48.335677449601498</v>
      </c>
      <c r="F13" s="19">
        <v>37.863937280839515</v>
      </c>
      <c r="G13" s="19">
        <v>16.07565011820331</v>
      </c>
      <c r="H13" s="19">
        <v>14.583333333333329</v>
      </c>
      <c r="I13" s="19">
        <v>8.602150537634401</v>
      </c>
      <c r="J13" s="2">
        <v>87.081314788769077</v>
      </c>
      <c r="K13" s="2">
        <v>78.947873207691941</v>
      </c>
      <c r="L13" s="2">
        <v>54.373522458628848</v>
      </c>
      <c r="M13" s="2">
        <v>41.456790123456784</v>
      </c>
      <c r="N13" s="18">
        <v>81.80115997625245</v>
      </c>
      <c r="O13" s="21">
        <v>85.191111111111113</v>
      </c>
      <c r="P13" s="18">
        <v>24.036767157212932</v>
      </c>
    </row>
    <row r="14" spans="1:16">
      <c r="A14">
        <v>425</v>
      </c>
      <c r="C14" s="20">
        <v>66.05744125326369</v>
      </c>
      <c r="D14" s="19">
        <v>59.5</v>
      </c>
      <c r="E14" s="20">
        <v>71.64205344585092</v>
      </c>
      <c r="F14" s="19">
        <v>54.272364874603461</v>
      </c>
      <c r="G14" s="19">
        <v>25.768321513002363</v>
      </c>
      <c r="H14" s="19">
        <v>27.546296296296291</v>
      </c>
      <c r="I14" s="19">
        <v>18.394777265745009</v>
      </c>
      <c r="J14" s="2">
        <v>97.03078606032193</v>
      </c>
      <c r="K14" s="2">
        <v>91.344171102479265</v>
      </c>
      <c r="L14" s="2">
        <v>77.37588652482269</v>
      </c>
      <c r="M14" s="2">
        <v>58.666666666666671</v>
      </c>
      <c r="N14" s="18">
        <v>91.439466593597288</v>
      </c>
      <c r="O14" s="21">
        <v>89.511111111111106</v>
      </c>
      <c r="P14" s="18">
        <v>29.608991760727722</v>
      </c>
    </row>
    <row r="15" spans="1:16">
      <c r="A15">
        <v>440</v>
      </c>
      <c r="C15" s="19"/>
      <c r="D15" s="19"/>
      <c r="E15" s="29"/>
      <c r="F15" s="19"/>
      <c r="G15" s="19"/>
      <c r="H15" s="19"/>
      <c r="I15" s="19"/>
      <c r="J15" s="2"/>
      <c r="K15" s="2"/>
      <c r="L15" s="2"/>
      <c r="M15" s="2"/>
      <c r="N15" s="18"/>
      <c r="O15" s="30"/>
      <c r="P15" s="18">
        <v>45.3969614706863</v>
      </c>
    </row>
    <row r="16" spans="1:16">
      <c r="A16">
        <v>450</v>
      </c>
      <c r="C16" s="19">
        <v>95.735422106179286</v>
      </c>
      <c r="D16" s="19">
        <v>92.25500000000001</v>
      </c>
      <c r="E16" s="20">
        <v>81.293952180028128</v>
      </c>
      <c r="F16" s="19">
        <v>80.14087304102388</v>
      </c>
      <c r="G16" s="19">
        <v>51.347517730496449</v>
      </c>
      <c r="H16" s="19">
        <v>41.562499999999993</v>
      </c>
      <c r="I16" s="19">
        <v>30.337941628264215</v>
      </c>
      <c r="J16" s="2">
        <v>99.433505235192996</v>
      </c>
      <c r="K16" s="2">
        <v>98.16093607634393</v>
      </c>
      <c r="L16" s="2">
        <v>94.555555555555557</v>
      </c>
      <c r="M16" s="2">
        <v>84.611111111111114</v>
      </c>
      <c r="N16" s="18">
        <v>98.47696031419828</v>
      </c>
      <c r="O16" s="21">
        <v>98.502222222222215</v>
      </c>
      <c r="P16" s="18">
        <v>53.302852788493588</v>
      </c>
    </row>
    <row r="18" spans="1:16">
      <c r="C18" t="s">
        <v>147</v>
      </c>
    </row>
    <row r="19" spans="1:16">
      <c r="C19" s="9">
        <v>6.3</v>
      </c>
      <c r="D19" s="9">
        <v>9.6999999999999993</v>
      </c>
      <c r="E19" s="9">
        <v>16.600000000000001</v>
      </c>
      <c r="F19" s="9">
        <v>18.3</v>
      </c>
      <c r="G19" s="9">
        <v>27.8</v>
      </c>
      <c r="H19" s="9">
        <v>38.9</v>
      </c>
      <c r="I19" s="9">
        <v>44.7</v>
      </c>
    </row>
    <row r="20" spans="1:16">
      <c r="A20" t="s">
        <v>0</v>
      </c>
      <c r="D20" t="s">
        <v>16</v>
      </c>
      <c r="E20" t="s">
        <v>17</v>
      </c>
      <c r="F20" t="s">
        <v>18</v>
      </c>
      <c r="G20" t="s">
        <v>19</v>
      </c>
      <c r="H20" t="s">
        <v>20</v>
      </c>
      <c r="J20">
        <v>48.8</v>
      </c>
      <c r="K20">
        <v>30.6</v>
      </c>
      <c r="L20">
        <v>25.8</v>
      </c>
      <c r="N20">
        <v>23.3</v>
      </c>
      <c r="O20">
        <v>15.5</v>
      </c>
      <c r="P20">
        <v>9</v>
      </c>
    </row>
    <row r="21" spans="1:16">
      <c r="D21" t="s">
        <v>23</v>
      </c>
      <c r="E21" t="s">
        <v>24</v>
      </c>
      <c r="F21" t="s">
        <v>25</v>
      </c>
      <c r="G21" t="s">
        <v>40</v>
      </c>
      <c r="H21" t="s">
        <v>26</v>
      </c>
      <c r="I21" t="s">
        <v>35</v>
      </c>
      <c r="J21" t="s">
        <v>36</v>
      </c>
      <c r="K21" t="s">
        <v>37</v>
      </c>
      <c r="L21" t="s">
        <v>38</v>
      </c>
      <c r="M21" t="s">
        <v>39</v>
      </c>
      <c r="N21" s="17" t="s">
        <v>31</v>
      </c>
      <c r="O21" s="17" t="s">
        <v>32</v>
      </c>
      <c r="P21" s="17" t="s">
        <v>33</v>
      </c>
    </row>
    <row r="22" spans="1:16">
      <c r="A22" t="s">
        <v>41</v>
      </c>
      <c r="C22">
        <v>1</v>
      </c>
      <c r="D22">
        <v>0.5</v>
      </c>
      <c r="E22">
        <v>0.5</v>
      </c>
      <c r="F22">
        <v>0.23</v>
      </c>
      <c r="G22">
        <v>0.15</v>
      </c>
      <c r="H22">
        <v>0.1</v>
      </c>
      <c r="I22">
        <v>0.1</v>
      </c>
      <c r="J22">
        <v>0.1</v>
      </c>
      <c r="K22">
        <v>0.1</v>
      </c>
      <c r="L22">
        <v>0.1</v>
      </c>
      <c r="M22">
        <v>0.1</v>
      </c>
      <c r="N22">
        <v>0.1</v>
      </c>
      <c r="O22">
        <v>0.1</v>
      </c>
      <c r="P22">
        <v>0.1</v>
      </c>
    </row>
    <row r="23" spans="1:16">
      <c r="A23">
        <v>300</v>
      </c>
      <c r="C23" s="24"/>
      <c r="D23" s="24"/>
      <c r="E23" s="24"/>
      <c r="F23" s="24"/>
      <c r="G23" s="24"/>
      <c r="H23" s="24"/>
      <c r="I23" s="24"/>
      <c r="J23" s="26"/>
      <c r="K23" s="26"/>
      <c r="L23" s="26"/>
      <c r="M23" s="26"/>
      <c r="N23" s="25"/>
      <c r="O23" s="25"/>
      <c r="P23" s="25"/>
    </row>
    <row r="24" spans="1:16">
      <c r="A24">
        <v>325</v>
      </c>
      <c r="C24" s="24">
        <v>21.779730197163623</v>
      </c>
      <c r="D24" s="24">
        <v>38.775510204081378</v>
      </c>
      <c r="E24" s="24">
        <v>22.441518838304489</v>
      </c>
      <c r="F24" s="24">
        <v>8.4841391317256925</v>
      </c>
      <c r="G24" s="24">
        <v>6.2826530612244618</v>
      </c>
      <c r="H24" s="24">
        <v>8.8163265306124092</v>
      </c>
      <c r="I24" s="24"/>
      <c r="J24" s="26">
        <v>38.163987867477836</v>
      </c>
      <c r="K24" s="26">
        <v>28.230277185500995</v>
      </c>
      <c r="L24" s="26">
        <v>6.5589893100097241</v>
      </c>
      <c r="M24" s="26">
        <v>3.6734693877551154</v>
      </c>
      <c r="N24" s="25">
        <v>27.617425174226003</v>
      </c>
      <c r="O24" s="25">
        <v>43.241805813234315</v>
      </c>
      <c r="P24" s="25">
        <v>37.037062865347245</v>
      </c>
    </row>
    <row r="25" spans="1:16">
      <c r="A25">
        <v>340</v>
      </c>
      <c r="C25" s="24"/>
      <c r="D25" s="24"/>
      <c r="E25" s="24"/>
      <c r="F25" s="24"/>
      <c r="G25" s="24"/>
      <c r="H25" s="24"/>
      <c r="I25" s="24"/>
      <c r="J25" s="26"/>
      <c r="K25" s="26"/>
      <c r="L25" s="26"/>
      <c r="M25" s="26"/>
      <c r="N25" s="25"/>
      <c r="O25" s="25"/>
      <c r="P25" s="25"/>
    </row>
    <row r="26" spans="1:16">
      <c r="A26">
        <v>350</v>
      </c>
      <c r="C26" s="24">
        <v>26.612395308070226</v>
      </c>
      <c r="D26" s="24">
        <v>38.21480107194386</v>
      </c>
      <c r="E26" s="24">
        <v>39.877501244400172</v>
      </c>
      <c r="F26" s="24">
        <v>25.472304970378048</v>
      </c>
      <c r="G26" s="24">
        <v>14.771428571428592</v>
      </c>
      <c r="H26" s="24">
        <v>32.740136054422294</v>
      </c>
      <c r="I26" s="24">
        <v>40.504489795918268</v>
      </c>
      <c r="J26" s="26">
        <v>55.523174703190399</v>
      </c>
      <c r="K26" s="26">
        <v>31.525957506712597</v>
      </c>
      <c r="L26" s="26">
        <v>32.448867459071536</v>
      </c>
      <c r="M26" s="26">
        <v>51.384839650145885</v>
      </c>
      <c r="N26" s="25">
        <v>35.824148507368996</v>
      </c>
      <c r="O26" s="25">
        <v>41.743640486497618</v>
      </c>
      <c r="P26" s="25">
        <v>45.758987903065595</v>
      </c>
    </row>
    <row r="27" spans="1:16">
      <c r="A27">
        <v>360</v>
      </c>
      <c r="C27" s="24"/>
      <c r="D27" s="24"/>
      <c r="E27" s="24"/>
      <c r="F27" s="24"/>
      <c r="G27" s="24"/>
      <c r="H27" s="24"/>
      <c r="I27" s="24"/>
      <c r="K27" s="26"/>
      <c r="L27" s="26"/>
      <c r="M27" s="26"/>
      <c r="N27" s="25"/>
      <c r="O27" s="25"/>
      <c r="P27" s="25"/>
    </row>
    <row r="28" spans="1:16">
      <c r="A28">
        <v>375</v>
      </c>
      <c r="C28" s="24">
        <v>30.000687027848084</v>
      </c>
      <c r="D28" s="24">
        <v>31.725417439703136</v>
      </c>
      <c r="E28" s="24">
        <v>60.977339167278778</v>
      </c>
      <c r="F28" s="24">
        <v>23.049776665768178</v>
      </c>
      <c r="G28" s="24">
        <v>32.484353741496605</v>
      </c>
      <c r="H28" s="24">
        <v>22.9375196232339</v>
      </c>
      <c r="I28" s="24">
        <v>44.023742454728314</v>
      </c>
      <c r="J28" s="26">
        <v>43.858812421635804</v>
      </c>
      <c r="K28" s="26">
        <v>29.896556332885226</v>
      </c>
      <c r="L28" s="26">
        <v>33.945966958211862</v>
      </c>
      <c r="M28" s="26">
        <v>42.455161194912755</v>
      </c>
      <c r="N28" s="25">
        <v>30.025031242088858</v>
      </c>
      <c r="O28" s="25">
        <v>41.693792116532642</v>
      </c>
      <c r="P28" s="25">
        <v>37.374863232046806</v>
      </c>
    </row>
    <row r="29" spans="1:16">
      <c r="A29">
        <v>390</v>
      </c>
      <c r="C29" s="24">
        <v>31.748732286873761</v>
      </c>
      <c r="D29" s="24">
        <v>34.146115589092766</v>
      </c>
      <c r="E29" s="24">
        <v>53.696759209479374</v>
      </c>
      <c r="F29" s="24">
        <v>28.406131569288679</v>
      </c>
      <c r="G29" s="24">
        <v>30.947376093294466</v>
      </c>
      <c r="H29" s="24">
        <v>23.81161695447409</v>
      </c>
      <c r="I29" s="24">
        <v>51.997882949873144</v>
      </c>
      <c r="J29" s="26">
        <v>35.541307736164313</v>
      </c>
      <c r="K29" s="26">
        <v>29.122753437592721</v>
      </c>
      <c r="L29" s="26">
        <v>34.204717425265358</v>
      </c>
      <c r="M29" s="26">
        <v>38.01941557029496</v>
      </c>
      <c r="N29" s="25">
        <v>29.081701720396083</v>
      </c>
      <c r="O29" s="25">
        <v>36.004475386005105</v>
      </c>
      <c r="P29" s="25">
        <v>47.580393259242157</v>
      </c>
    </row>
    <row r="30" spans="1:16">
      <c r="A30">
        <v>400</v>
      </c>
      <c r="C30" s="24">
        <v>33.857354283451407</v>
      </c>
      <c r="D30" s="24">
        <v>32.974003662519586</v>
      </c>
      <c r="E30" s="24">
        <v>53.367741602783383</v>
      </c>
      <c r="F30" s="24">
        <v>32.620899116336332</v>
      </c>
      <c r="G30" s="24">
        <v>30.797789115646271</v>
      </c>
      <c r="H30" s="24">
        <v>26.396734693877566</v>
      </c>
      <c r="I30" s="24">
        <v>56.255392156862683</v>
      </c>
      <c r="J30" s="26">
        <v>54.555549444465619</v>
      </c>
      <c r="K30" s="26">
        <v>44.026721559402098</v>
      </c>
      <c r="L30" s="26">
        <v>30.18505893354828</v>
      </c>
      <c r="M30" s="26">
        <v>33.986128043871382</v>
      </c>
      <c r="N30" s="25">
        <v>33.660327687514815</v>
      </c>
      <c r="O30" s="25">
        <v>33.278077509523357</v>
      </c>
      <c r="P30" s="25">
        <v>49.628833785171601</v>
      </c>
    </row>
    <row r="31" spans="1:16">
      <c r="A31">
        <v>410</v>
      </c>
      <c r="C31" s="24">
        <v>30.268172023606024</v>
      </c>
      <c r="D31" s="24">
        <v>33.312893604345966</v>
      </c>
      <c r="E31" s="24">
        <v>40.829620902706893</v>
      </c>
      <c r="F31" s="24">
        <v>30.28920965934411</v>
      </c>
      <c r="G31" s="24">
        <v>34.872890992145649</v>
      </c>
      <c r="H31" s="24">
        <v>26.220531721460528</v>
      </c>
      <c r="I31" s="24">
        <v>67.472448979591903</v>
      </c>
      <c r="J31" s="26">
        <v>59.702149140678578</v>
      </c>
      <c r="K31" s="26">
        <v>49.649332182016813</v>
      </c>
      <c r="L31" s="26">
        <v>35.860930923850724</v>
      </c>
      <c r="M31" s="26">
        <v>36.493550201039447</v>
      </c>
      <c r="N31" s="25">
        <v>52.680540687153119</v>
      </c>
      <c r="O31" s="25">
        <v>52.242702503673542</v>
      </c>
      <c r="P31" s="25">
        <v>42.301882736911288</v>
      </c>
    </row>
    <row r="32" spans="1:16">
      <c r="A32">
        <v>425</v>
      </c>
      <c r="C32" s="24">
        <v>30.268172023606024</v>
      </c>
      <c r="D32" s="24">
        <v>31.98021194394406</v>
      </c>
      <c r="E32" s="24">
        <v>33.662526843580402</v>
      </c>
      <c r="F32" s="24">
        <v>29.333306486932511</v>
      </c>
      <c r="G32" s="24">
        <v>35.779394063389766</v>
      </c>
      <c r="H32" s="24">
        <v>20.291616954474101</v>
      </c>
      <c r="I32" s="24">
        <v>42.611244037845019</v>
      </c>
      <c r="J32" s="26">
        <v>67.14830989045646</v>
      </c>
      <c r="K32" s="26">
        <v>60.052182330124936</v>
      </c>
      <c r="L32" s="26">
        <v>53.951371775862299</v>
      </c>
      <c r="M32" s="26">
        <v>31.494738273995317</v>
      </c>
      <c r="N32" s="25">
        <v>59.818529850111013</v>
      </c>
      <c r="O32" s="25">
        <v>63.33488763434908</v>
      </c>
      <c r="P32" s="25">
        <v>41.233820120066589</v>
      </c>
    </row>
    <row r="33" spans="1:16">
      <c r="A33">
        <v>440</v>
      </c>
      <c r="C33" s="24"/>
      <c r="D33" s="24"/>
      <c r="E33" s="24"/>
      <c r="F33" s="24"/>
      <c r="G33" s="24"/>
      <c r="H33" s="24"/>
      <c r="I33" s="24"/>
      <c r="J33" s="26"/>
      <c r="K33" s="26"/>
      <c r="L33" s="26"/>
      <c r="M33" s="26"/>
      <c r="N33" s="25"/>
      <c r="O33" s="25"/>
      <c r="P33" s="25">
        <v>39.021333009337937</v>
      </c>
    </row>
    <row r="34" spans="1:16">
      <c r="A34">
        <v>450</v>
      </c>
      <c r="C34" s="24">
        <v>47.921187384044522</v>
      </c>
      <c r="D34" s="24">
        <v>49.499037300939676</v>
      </c>
      <c r="E34" s="24">
        <v>46.439703997438983</v>
      </c>
      <c r="F34" s="24">
        <v>50.999298978883608</v>
      </c>
      <c r="G34" s="24">
        <v>32.187549924646532</v>
      </c>
      <c r="H34" s="24">
        <v>31.248918361947066</v>
      </c>
      <c r="I34" s="24">
        <v>49.293895802366002</v>
      </c>
      <c r="J34" s="26">
        <v>69.845656403901685</v>
      </c>
      <c r="K34" s="26">
        <v>72.305415808894963</v>
      </c>
      <c r="L34" s="26">
        <v>65.741937411968706</v>
      </c>
      <c r="M34" s="26">
        <v>51.932808614229231</v>
      </c>
      <c r="N34" s="25">
        <v>72.83173933876003</v>
      </c>
      <c r="O34" s="25">
        <v>71.103362763388589</v>
      </c>
      <c r="P34" s="25">
        <v>35.6503506386928</v>
      </c>
    </row>
    <row r="36" spans="1:16">
      <c r="D36" t="s">
        <v>121</v>
      </c>
    </row>
    <row r="37" spans="1:16">
      <c r="A37">
        <v>300</v>
      </c>
      <c r="B37">
        <v>300</v>
      </c>
    </row>
    <row r="38" spans="1:16">
      <c r="A38">
        <v>325</v>
      </c>
      <c r="B38">
        <v>325</v>
      </c>
      <c r="D38">
        <v>18.416095550247231</v>
      </c>
      <c r="E38">
        <v>2.4186093504382753</v>
      </c>
      <c r="F38">
        <v>2.1753023421699904</v>
      </c>
      <c r="G38">
        <v>3.8645104292750507</v>
      </c>
      <c r="H38">
        <v>3.894348151085969</v>
      </c>
      <c r="J38">
        <v>10.009424449789874</v>
      </c>
      <c r="K38">
        <v>32.008807345585303</v>
      </c>
      <c r="L38">
        <v>2.0799923123348645</v>
      </c>
      <c r="N38">
        <v>10.613321018074068</v>
      </c>
      <c r="O38">
        <v>9.8805633318855435</v>
      </c>
      <c r="P38">
        <v>40.795546971943388</v>
      </c>
    </row>
    <row r="39" spans="1:16">
      <c r="A39">
        <v>340</v>
      </c>
      <c r="B39">
        <v>340</v>
      </c>
    </row>
    <row r="40" spans="1:16">
      <c r="A40">
        <v>350</v>
      </c>
      <c r="B40">
        <v>350</v>
      </c>
      <c r="D40">
        <v>10.996318700205224</v>
      </c>
      <c r="E40">
        <v>10.108466509934189</v>
      </c>
      <c r="F40">
        <v>5.8590609520644383</v>
      </c>
      <c r="G40">
        <v>3.2233899786288016</v>
      </c>
      <c r="H40">
        <v>0.17414965986433151</v>
      </c>
      <c r="I40">
        <v>24.705192703043487</v>
      </c>
      <c r="J40">
        <v>8.0415440163105938</v>
      </c>
      <c r="K40">
        <v>1.0344768743220576</v>
      </c>
      <c r="L40">
        <v>3.2854398643077185</v>
      </c>
      <c r="M40">
        <v>9.6006105361366139</v>
      </c>
      <c r="N40">
        <v>5.0632699785137278</v>
      </c>
      <c r="O40">
        <v>3.9089959708119353</v>
      </c>
      <c r="P40">
        <v>3.8604908314951292</v>
      </c>
    </row>
    <row r="41" spans="1:16">
      <c r="A41">
        <v>360</v>
      </c>
      <c r="B41">
        <v>360</v>
      </c>
    </row>
    <row r="42" spans="1:16">
      <c r="A42">
        <v>375</v>
      </c>
      <c r="B42">
        <v>375</v>
      </c>
      <c r="D42">
        <v>1.5567841703746663</v>
      </c>
      <c r="E42">
        <v>2.809810239922093</v>
      </c>
      <c r="F42">
        <v>1.1077354198219471</v>
      </c>
      <c r="G42">
        <v>2.1854050396186282</v>
      </c>
      <c r="H42">
        <v>2.0489425461077362</v>
      </c>
      <c r="I42">
        <v>5.99936059201577</v>
      </c>
      <c r="J42">
        <v>0.47684517547114103</v>
      </c>
      <c r="K42">
        <v>0.80860106077923699</v>
      </c>
      <c r="L42">
        <v>1.5575516757564927</v>
      </c>
      <c r="M42">
        <v>1.6840697203932933</v>
      </c>
      <c r="N42">
        <v>2.5914210117130811</v>
      </c>
      <c r="O42">
        <v>1.3247036876726688</v>
      </c>
      <c r="P42">
        <v>3.3666877188149704</v>
      </c>
    </row>
    <row r="43" spans="1:16">
      <c r="A43">
        <v>390</v>
      </c>
      <c r="B43">
        <v>390</v>
      </c>
      <c r="D43">
        <v>0.81254186524135963</v>
      </c>
      <c r="E43">
        <v>1.7097324164925574</v>
      </c>
      <c r="F43">
        <v>1.2189975673943643</v>
      </c>
      <c r="G43">
        <v>2.4702756552010954E-2</v>
      </c>
      <c r="H43">
        <v>1.2350179537595003</v>
      </c>
      <c r="I43">
        <v>3.7599987027824873</v>
      </c>
      <c r="J43">
        <v>1.0514213159642483</v>
      </c>
      <c r="K43">
        <v>0.61235230702491417</v>
      </c>
      <c r="L43">
        <v>0.45220908420477679</v>
      </c>
      <c r="M43">
        <v>3.5846638915174309</v>
      </c>
      <c r="N43">
        <v>0.47830682683107151</v>
      </c>
      <c r="O43">
        <v>0.57308646730628243</v>
      </c>
      <c r="P43">
        <v>3.1331880012308413</v>
      </c>
    </row>
    <row r="44" spans="1:16">
      <c r="A44">
        <v>400</v>
      </c>
      <c r="B44">
        <v>400</v>
      </c>
      <c r="D44">
        <v>0.376425960282123</v>
      </c>
      <c r="E44">
        <v>0.96064133589979317</v>
      </c>
      <c r="F44">
        <v>1.5787424472752472</v>
      </c>
      <c r="G44">
        <v>3.985961524708808</v>
      </c>
      <c r="H44">
        <v>0.47579443200232846</v>
      </c>
      <c r="I44">
        <v>15.334182140580291</v>
      </c>
      <c r="J44">
        <v>2.0437810479798872</v>
      </c>
      <c r="K44">
        <v>1.0141102141222607</v>
      </c>
      <c r="L44">
        <v>1.5797428556077979</v>
      </c>
      <c r="M44">
        <v>3.1903505856410699</v>
      </c>
      <c r="N44">
        <v>2.6676967357244004</v>
      </c>
      <c r="O44">
        <v>1.556529193967702</v>
      </c>
      <c r="P44">
        <v>0.47976149042755822</v>
      </c>
    </row>
    <row r="45" spans="1:16">
      <c r="A45">
        <v>410</v>
      </c>
      <c r="B45">
        <v>410</v>
      </c>
      <c r="D45">
        <v>0.63045723546674781</v>
      </c>
      <c r="E45">
        <v>0.53453213691350865</v>
      </c>
      <c r="F45">
        <v>1.1711518830768735</v>
      </c>
      <c r="G45">
        <v>5.0756917230686271</v>
      </c>
      <c r="H45">
        <v>4.4119787735637042</v>
      </c>
      <c r="I45">
        <v>2.2503242048365748</v>
      </c>
      <c r="J45">
        <v>1.1323351978926079</v>
      </c>
      <c r="K45">
        <v>2.0718130598392044</v>
      </c>
      <c r="L45">
        <v>1.70199102456808</v>
      </c>
      <c r="M45">
        <v>0.2236455590459582</v>
      </c>
      <c r="N45">
        <v>1.0405797668131547</v>
      </c>
      <c r="O45">
        <v>1.2278396432614795</v>
      </c>
      <c r="P45">
        <v>5.8977241122587305</v>
      </c>
    </row>
    <row r="46" spans="1:16">
      <c r="A46">
        <v>425</v>
      </c>
      <c r="B46">
        <v>425</v>
      </c>
      <c r="D46">
        <v>0.18071556282028528</v>
      </c>
      <c r="E46">
        <v>0.6181213107483412</v>
      </c>
      <c r="F46">
        <v>0.14000411877431779</v>
      </c>
      <c r="G46">
        <v>0.4471331988280382</v>
      </c>
      <c r="H46">
        <v>0.27426961269811667</v>
      </c>
      <c r="I46">
        <v>2.2503242048365748</v>
      </c>
      <c r="J46">
        <v>1.8307535299135114</v>
      </c>
      <c r="K46">
        <v>0.94402645270695007</v>
      </c>
      <c r="L46">
        <v>1.7624920565679438</v>
      </c>
      <c r="M46">
        <v>1.2991729703394042</v>
      </c>
      <c r="N46">
        <v>0.94551740550162866</v>
      </c>
      <c r="O46">
        <v>0.92114137204806479</v>
      </c>
      <c r="P46">
        <v>2.4089141201354085</v>
      </c>
    </row>
    <row r="47" spans="1:16">
      <c r="A47">
        <v>440</v>
      </c>
      <c r="B47">
        <v>440</v>
      </c>
      <c r="P47">
        <v>5.1455482599360808E-2</v>
      </c>
    </row>
    <row r="48" spans="1:16">
      <c r="A48">
        <v>450</v>
      </c>
      <c r="B48">
        <v>450</v>
      </c>
      <c r="D48">
        <v>4.4735769670510832</v>
      </c>
      <c r="E48">
        <v>9.3198621223644054</v>
      </c>
      <c r="F48">
        <v>3.0478355352325068</v>
      </c>
      <c r="G48">
        <v>1.2564800204770064</v>
      </c>
      <c r="H48">
        <v>0.83713029198262456</v>
      </c>
      <c r="I48">
        <v>5.1936388410430405</v>
      </c>
      <c r="J48">
        <v>4.6844402496106818</v>
      </c>
      <c r="K48">
        <v>2.2001440292756129</v>
      </c>
      <c r="L48">
        <v>1.5270276249394845</v>
      </c>
      <c r="M48">
        <v>1.9002544872890668</v>
      </c>
      <c r="N48">
        <v>1.4198520209200751</v>
      </c>
      <c r="O48">
        <v>1.8584347511671275</v>
      </c>
      <c r="P48">
        <v>0.4713115148280399</v>
      </c>
    </row>
    <row r="58" spans="2:7">
      <c r="B58" t="s">
        <v>122</v>
      </c>
    </row>
    <row r="59" spans="2:7">
      <c r="B59" t="s">
        <v>123</v>
      </c>
      <c r="D59" t="s">
        <v>124</v>
      </c>
      <c r="E59" t="s">
        <v>125</v>
      </c>
      <c r="F59" t="s">
        <v>126</v>
      </c>
      <c r="G59" t="s">
        <v>127</v>
      </c>
    </row>
    <row r="60" spans="2:7">
      <c r="B60" s="9">
        <v>6.3</v>
      </c>
      <c r="C60" s="9"/>
      <c r="D60" s="24">
        <v>30.000687027848084</v>
      </c>
      <c r="E60" s="24">
        <v>33.857354283451407</v>
      </c>
      <c r="F60" s="24">
        <v>24.310744247610113</v>
      </c>
      <c r="G60" s="24">
        <v>47.921187384044522</v>
      </c>
    </row>
    <row r="61" spans="2:7">
      <c r="B61" s="9">
        <v>9.6999999999999993</v>
      </c>
      <c r="C61" s="9"/>
      <c r="D61" s="24">
        <v>31.725417439703136</v>
      </c>
      <c r="E61" s="24">
        <v>32.974003662519586</v>
      </c>
      <c r="F61" s="24">
        <v>31.98021194394406</v>
      </c>
      <c r="G61" s="24">
        <v>49.499037300939676</v>
      </c>
    </row>
    <row r="62" spans="2:7">
      <c r="B62" s="9">
        <v>16.600000000000001</v>
      </c>
      <c r="C62" s="9"/>
      <c r="D62" s="24">
        <v>60.977339167278778</v>
      </c>
      <c r="E62" s="24">
        <v>53.367741602783383</v>
      </c>
      <c r="F62" s="24">
        <v>33.662526843580402</v>
      </c>
      <c r="G62" s="24">
        <v>46.439703997438983</v>
      </c>
    </row>
    <row r="63" spans="2:7">
      <c r="B63" s="9">
        <v>18.3</v>
      </c>
      <c r="C63" s="9"/>
      <c r="D63" s="24">
        <v>23.049776665768178</v>
      </c>
      <c r="E63" s="24">
        <v>32.620899116336332</v>
      </c>
      <c r="F63" s="24">
        <v>29.333306486932511</v>
      </c>
      <c r="G63" s="24">
        <v>50.999298978883608</v>
      </c>
    </row>
    <row r="64" spans="2:7">
      <c r="B64" s="9">
        <v>27.8</v>
      </c>
      <c r="C64" s="9"/>
      <c r="D64" s="24">
        <v>32.484353741496605</v>
      </c>
      <c r="E64" s="24">
        <v>30.797789115646271</v>
      </c>
      <c r="F64" s="24">
        <v>35.779394063389766</v>
      </c>
      <c r="G64" s="24">
        <v>32.187549924646532</v>
      </c>
    </row>
    <row r="65" spans="2:7">
      <c r="B65" s="9">
        <v>38.9</v>
      </c>
      <c r="C65" s="9"/>
      <c r="D65" s="24">
        <v>22.9375196232339</v>
      </c>
      <c r="E65" s="24">
        <v>26.396734693877566</v>
      </c>
      <c r="F65" s="24">
        <v>20.291616954474101</v>
      </c>
      <c r="G65" s="24">
        <v>31.248918361947066</v>
      </c>
    </row>
    <row r="66" spans="2:7">
      <c r="B66" s="9">
        <v>44.7</v>
      </c>
      <c r="C66" s="9"/>
      <c r="D66" s="24">
        <v>44.023742454728314</v>
      </c>
      <c r="E66" s="24">
        <v>56.255392156862683</v>
      </c>
      <c r="F66" s="24">
        <v>42.611244037845019</v>
      </c>
      <c r="G66" s="24">
        <v>49.293895802366002</v>
      </c>
    </row>
    <row r="67" spans="2:7">
      <c r="B67" s="9">
        <v>24.9</v>
      </c>
      <c r="C67" s="9"/>
      <c r="D67" s="26">
        <v>35.541307736164313</v>
      </c>
      <c r="E67" s="26">
        <v>59.702149140678578</v>
      </c>
      <c r="F67" s="26">
        <v>67.14830989045646</v>
      </c>
      <c r="G67" s="26">
        <v>69.845656403901685</v>
      </c>
    </row>
    <row r="68" spans="2:7">
      <c r="B68" s="9">
        <v>29.5</v>
      </c>
      <c r="C68" s="9"/>
      <c r="D68" s="26">
        <v>29.896556332885226</v>
      </c>
      <c r="E68" s="26">
        <v>44.026721559402098</v>
      </c>
      <c r="F68" s="26">
        <v>60.052182330124936</v>
      </c>
      <c r="G68" s="26">
        <v>72.305415808894963</v>
      </c>
    </row>
    <row r="69" spans="2:7">
      <c r="B69" s="9">
        <v>52.5</v>
      </c>
      <c r="C69" s="9"/>
      <c r="D69" s="26">
        <v>33.945966958211862</v>
      </c>
      <c r="E69" s="26">
        <v>30.18505893354828</v>
      </c>
      <c r="F69" s="26">
        <v>53.951371775862299</v>
      </c>
      <c r="G69" s="26">
        <v>65.741937411968706</v>
      </c>
    </row>
    <row r="70" spans="2:7">
      <c r="B70" s="9">
        <v>90.2</v>
      </c>
      <c r="C70" s="9"/>
      <c r="D70" s="26">
        <v>42.455161194912755</v>
      </c>
      <c r="E70" s="26">
        <v>33.986128043871382</v>
      </c>
      <c r="F70" s="26">
        <v>31.494738273995317</v>
      </c>
      <c r="G70" s="26">
        <v>51.932808614229231</v>
      </c>
    </row>
    <row r="71" spans="2:7">
      <c r="B71" s="9">
        <v>49.6</v>
      </c>
      <c r="C71" s="9"/>
      <c r="D71" s="25">
        <v>30.025031242088858</v>
      </c>
      <c r="E71" s="25">
        <v>33.660327687514815</v>
      </c>
      <c r="F71" s="25">
        <v>59.818529850111013</v>
      </c>
      <c r="G71" s="25">
        <v>72.83173933876003</v>
      </c>
    </row>
    <row r="72" spans="2:7">
      <c r="B72" s="9">
        <v>57</v>
      </c>
      <c r="C72" s="9"/>
      <c r="D72" s="25">
        <v>41.693792116532642</v>
      </c>
      <c r="E72" s="25">
        <v>33.278077509523357</v>
      </c>
      <c r="F72" s="25">
        <v>63.33488763434908</v>
      </c>
      <c r="G72" s="25">
        <v>71.103362763388589</v>
      </c>
    </row>
    <row r="73" spans="2:7">
      <c r="B73" s="9">
        <v>67</v>
      </c>
      <c r="C73" s="9"/>
      <c r="D73" s="25">
        <v>37.374863232046806</v>
      </c>
      <c r="E73" s="25">
        <v>49.628833785171601</v>
      </c>
      <c r="F73" s="25">
        <v>41.233820120066589</v>
      </c>
      <c r="G73" s="25">
        <v>35.6503506386928</v>
      </c>
    </row>
    <row r="74" spans="2:7">
      <c r="E74" t="s">
        <v>121</v>
      </c>
    </row>
    <row r="75" spans="2:7">
      <c r="E75">
        <v>0.56012754940447729</v>
      </c>
    </row>
    <row r="76" spans="2:7">
      <c r="E76">
        <v>0.376425960282123</v>
      </c>
      <c r="F76">
        <v>0.18071556282028528</v>
      </c>
      <c r="G76">
        <v>4.4735769670510832</v>
      </c>
    </row>
    <row r="77" spans="2:7">
      <c r="E77">
        <v>0.96064133589979317</v>
      </c>
      <c r="F77">
        <v>0.6181213107483412</v>
      </c>
      <c r="G77">
        <v>9.3198621223644054</v>
      </c>
    </row>
    <row r="78" spans="2:7">
      <c r="E78">
        <v>1.5787424472752472</v>
      </c>
      <c r="F78">
        <v>0.14000411877431779</v>
      </c>
      <c r="G78">
        <v>3.0478355352325068</v>
      </c>
    </row>
    <row r="79" spans="2:7">
      <c r="E79">
        <v>3.985961524708808</v>
      </c>
      <c r="F79">
        <v>0.4471331988280382</v>
      </c>
      <c r="G79">
        <v>1.2564800204770064</v>
      </c>
    </row>
    <row r="80" spans="2:7">
      <c r="E80">
        <v>0.47579443200232846</v>
      </c>
      <c r="F80">
        <v>0.27426961269811667</v>
      </c>
      <c r="G80">
        <v>0.83713029198262456</v>
      </c>
    </row>
    <row r="81" spans="5:13">
      <c r="E81">
        <v>15.334182140580291</v>
      </c>
      <c r="F81">
        <v>2.2503242048365748</v>
      </c>
      <c r="G81">
        <v>5.1936388410430405</v>
      </c>
    </row>
    <row r="82" spans="5:13">
      <c r="E82">
        <v>2.0437810479798872</v>
      </c>
      <c r="F82">
        <v>1.8307535299135114</v>
      </c>
      <c r="G82">
        <v>4.6844402496106818</v>
      </c>
    </row>
    <row r="83" spans="5:13">
      <c r="E83">
        <v>1.0141102141222607</v>
      </c>
      <c r="F83">
        <v>0.94402645270695007</v>
      </c>
      <c r="G83">
        <v>2.2001440292756129</v>
      </c>
    </row>
    <row r="84" spans="5:13">
      <c r="E84">
        <v>1.5797428556077979</v>
      </c>
      <c r="F84">
        <v>1.7624920565679438</v>
      </c>
      <c r="G84">
        <v>1.5270276249394845</v>
      </c>
    </row>
    <row r="85" spans="5:13">
      <c r="E85">
        <v>3.1903505856410699</v>
      </c>
      <c r="F85">
        <v>1.2991729703394042</v>
      </c>
      <c r="G85">
        <v>1.9002544872890668</v>
      </c>
    </row>
    <row r="86" spans="5:13">
      <c r="E86">
        <v>2.6676967357244004</v>
      </c>
      <c r="F86">
        <v>0.94551740550162866</v>
      </c>
      <c r="G86">
        <v>1.4198520209200751</v>
      </c>
    </row>
    <row r="87" spans="5:13">
      <c r="E87">
        <v>1.556529193967702</v>
      </c>
      <c r="F87">
        <v>0.92114137204806479</v>
      </c>
      <c r="G87">
        <v>1.8584347511671275</v>
      </c>
    </row>
    <row r="88" spans="5:13">
      <c r="E88">
        <v>0.47976149042755822</v>
      </c>
      <c r="F88">
        <v>2.4089141201354085</v>
      </c>
      <c r="G88">
        <v>0.4713115148280399</v>
      </c>
    </row>
    <row r="91" spans="5:13">
      <c r="E91" t="s">
        <v>128</v>
      </c>
      <c r="J91" t="s">
        <v>132</v>
      </c>
    </row>
    <row r="92" spans="5:13">
      <c r="E92" t="s">
        <v>123</v>
      </c>
      <c r="F92" t="s">
        <v>129</v>
      </c>
      <c r="G92" t="s">
        <v>130</v>
      </c>
      <c r="H92" t="s">
        <v>131</v>
      </c>
      <c r="J92" t="s">
        <v>123</v>
      </c>
      <c r="K92" t="s">
        <v>129</v>
      </c>
      <c r="L92" t="s">
        <v>130</v>
      </c>
      <c r="M92" t="s">
        <v>131</v>
      </c>
    </row>
    <row r="93" spans="5:13">
      <c r="E93" s="9">
        <v>6.3</v>
      </c>
      <c r="F93" s="24">
        <v>33.857354283451407</v>
      </c>
      <c r="G93">
        <v>0.56012754940447729</v>
      </c>
      <c r="H93" s="19">
        <v>34.000580214679424</v>
      </c>
      <c r="J93" s="9">
        <v>6.3</v>
      </c>
      <c r="K93" s="24"/>
      <c r="M93" s="19"/>
    </row>
    <row r="94" spans="5:13">
      <c r="E94" s="9">
        <v>9.6999999999999993</v>
      </c>
      <c r="F94" s="24">
        <v>32.974003662519586</v>
      </c>
      <c r="G94">
        <v>0.376425960282123</v>
      </c>
      <c r="H94" s="19">
        <v>31.111111111111114</v>
      </c>
      <c r="J94" s="9">
        <v>9.6999999999999993</v>
      </c>
      <c r="K94" s="24"/>
      <c r="M94" s="19"/>
    </row>
    <row r="95" spans="5:13">
      <c r="E95" s="9">
        <v>16.600000000000001</v>
      </c>
      <c r="F95" s="24">
        <v>53.367741602783383</v>
      </c>
      <c r="G95">
        <v>0.96064133589979317</v>
      </c>
      <c r="H95" s="20">
        <v>29.442100328176281</v>
      </c>
      <c r="J95" s="9">
        <v>16.600000000000001</v>
      </c>
      <c r="K95" s="24"/>
      <c r="M95" s="20"/>
    </row>
    <row r="96" spans="5:13">
      <c r="E96" s="9">
        <v>18.3</v>
      </c>
      <c r="F96" s="24">
        <v>32.620899116336332</v>
      </c>
      <c r="G96">
        <v>1.5787424472752472</v>
      </c>
      <c r="H96" s="19">
        <v>27.699632347935673</v>
      </c>
      <c r="J96" s="9">
        <v>18.3</v>
      </c>
      <c r="K96" s="24"/>
      <c r="M96" s="19"/>
    </row>
    <row r="97" spans="5:13">
      <c r="E97" s="9">
        <v>27.8</v>
      </c>
      <c r="F97" s="24">
        <v>35.779394063389766</v>
      </c>
      <c r="G97">
        <v>0.4471331988280382</v>
      </c>
      <c r="H97" s="19">
        <v>25.768321513002363</v>
      </c>
      <c r="J97" s="9">
        <v>27.8</v>
      </c>
      <c r="K97" s="24"/>
      <c r="M97" s="19"/>
    </row>
    <row r="98" spans="5:13">
      <c r="E98" s="9">
        <v>38.9</v>
      </c>
      <c r="F98" s="24">
        <v>20.291616954474101</v>
      </c>
      <c r="G98">
        <v>0.27426961269811667</v>
      </c>
      <c r="H98" s="19">
        <v>27.546296296296291</v>
      </c>
      <c r="J98" s="9">
        <v>38.9</v>
      </c>
      <c r="K98" s="24"/>
      <c r="M98" s="19"/>
    </row>
    <row r="99" spans="5:13">
      <c r="E99" s="9">
        <v>44.7</v>
      </c>
      <c r="F99" s="24">
        <v>49.293895802366002</v>
      </c>
      <c r="G99">
        <v>5.1936388410430405</v>
      </c>
      <c r="H99" s="19">
        <v>30.337941628264215</v>
      </c>
      <c r="J99" s="9">
        <v>44.7</v>
      </c>
      <c r="K99" s="24"/>
      <c r="M99" s="19"/>
    </row>
    <row r="100" spans="5:13">
      <c r="E100" s="9">
        <v>24.9</v>
      </c>
      <c r="F100" s="26">
        <v>43.858812421635804</v>
      </c>
      <c r="G100">
        <v>0.47684517547114103</v>
      </c>
      <c r="H100" s="2">
        <v>43.018440381309603</v>
      </c>
    </row>
    <row r="101" spans="5:13">
      <c r="E101" s="9">
        <v>29.5</v>
      </c>
      <c r="F101" s="26">
        <v>29.896556332885226</v>
      </c>
      <c r="G101">
        <v>0.80860106077923699</v>
      </c>
      <c r="H101" s="2">
        <v>46.338656308444826</v>
      </c>
    </row>
    <row r="102" spans="5:13">
      <c r="E102" s="9">
        <v>52.5</v>
      </c>
      <c r="F102" s="26">
        <v>33.945966958211862</v>
      </c>
      <c r="G102">
        <v>1.5575516757564927</v>
      </c>
      <c r="H102" s="2">
        <v>27.375886524822693</v>
      </c>
    </row>
    <row r="103" spans="5:13">
      <c r="E103" s="9">
        <v>90.2</v>
      </c>
      <c r="F103" s="26">
        <v>38.01941557029496</v>
      </c>
      <c r="G103">
        <v>3.5846638915174309</v>
      </c>
      <c r="H103" s="2">
        <v>26.790123456790131</v>
      </c>
    </row>
    <row r="104" spans="5:13">
      <c r="E104" s="9">
        <v>49.6</v>
      </c>
      <c r="F104" s="25">
        <v>30.025031242088858</v>
      </c>
      <c r="G104">
        <v>2.5914210117130811</v>
      </c>
      <c r="H104" s="18">
        <v>42.914554505183354</v>
      </c>
    </row>
    <row r="105" spans="5:13">
      <c r="E105" s="9">
        <v>57</v>
      </c>
      <c r="F105" s="25">
        <v>41.693792116532642</v>
      </c>
      <c r="G105">
        <v>1.3247036876726688</v>
      </c>
      <c r="H105" s="21">
        <v>28.444444444444446</v>
      </c>
    </row>
    <row r="106" spans="5:13">
      <c r="E106" s="9">
        <v>67</v>
      </c>
      <c r="F106" s="25">
        <v>41.233820120066589</v>
      </c>
      <c r="G106">
        <v>2.4089141201354085</v>
      </c>
      <c r="H106" s="18">
        <v>29.608991760727722</v>
      </c>
    </row>
  </sheetData>
  <hyperlinks>
    <hyperlink ref="P21" r:id="rId1"/>
    <hyperlink ref="O21" r:id="rId2"/>
    <hyperlink ref="N21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conv and rate</vt:lpstr>
      <vt:lpstr>size-area calculations</vt:lpstr>
      <vt:lpstr>error</vt:lpstr>
      <vt:lpstr>selectivity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Bennett</dc:creator>
  <cp:lastModifiedBy>James Bennett</cp:lastModifiedBy>
  <dcterms:created xsi:type="dcterms:W3CDTF">2016-05-22T17:26:44Z</dcterms:created>
  <dcterms:modified xsi:type="dcterms:W3CDTF">2016-06-14T15:33:39Z</dcterms:modified>
</cp:coreProperties>
</file>