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Override4.xml" ContentType="application/vnd.openxmlformats-officedocument.themeOverrid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48" activeTab="1"/>
  </bookViews>
  <sheets>
    <sheet name="areas vs temp" sheetId="21" r:id="rId1"/>
    <sheet name="Activation energy" sheetId="24" r:id="rId2"/>
  </sheets>
  <definedNames>
    <definedName name="peak_area_vs_temp" localSheetId="0">'areas vs temp'!$A$1:$J$31</definedName>
  </definedNames>
  <calcPr calcId="125725"/>
</workbook>
</file>

<file path=xl/calcChain.xml><?xml version="1.0" encoding="utf-8"?>
<calcChain xmlns="http://schemas.openxmlformats.org/spreadsheetml/2006/main">
  <c r="E76" i="24"/>
  <c r="F76" s="1"/>
  <c r="G76" s="1"/>
  <c r="C76"/>
  <c r="B76"/>
  <c r="F75"/>
  <c r="G75" s="1"/>
  <c r="E75"/>
  <c r="B75"/>
  <c r="C75" s="1"/>
  <c r="E74"/>
  <c r="F74" s="1"/>
  <c r="G74" s="1"/>
  <c r="B74"/>
  <c r="C74" s="1"/>
  <c r="E73"/>
  <c r="F73" s="1"/>
  <c r="G73" s="1"/>
  <c r="B73"/>
  <c r="C73" s="1"/>
  <c r="E72"/>
  <c r="F72" s="1"/>
  <c r="G72" s="1"/>
  <c r="C72"/>
  <c r="B72"/>
  <c r="G71"/>
  <c r="E71"/>
  <c r="F71" s="1"/>
  <c r="B71"/>
  <c r="C71" s="1"/>
  <c r="G65"/>
  <c r="F65"/>
  <c r="E65"/>
  <c r="B65"/>
  <c r="C65" s="1"/>
  <c r="E64"/>
  <c r="F64" s="1"/>
  <c r="G64" s="1"/>
  <c r="B64"/>
  <c r="C64" s="1"/>
  <c r="F63"/>
  <c r="G63" s="1"/>
  <c r="E63"/>
  <c r="C63"/>
  <c r="B63"/>
  <c r="E62"/>
  <c r="F62" s="1"/>
  <c r="G62" s="1"/>
  <c r="B62"/>
  <c r="C62" s="1"/>
  <c r="E61"/>
  <c r="F61" s="1"/>
  <c r="G61" s="1"/>
  <c r="B61"/>
  <c r="C61" s="1"/>
  <c r="G60"/>
  <c r="E60"/>
  <c r="F60" s="1"/>
  <c r="B60"/>
  <c r="C60" s="1"/>
  <c r="E54"/>
  <c r="F54" s="1"/>
  <c r="G54" s="1"/>
  <c r="B54"/>
  <c r="C54" s="1"/>
  <c r="E53"/>
  <c r="F53" s="1"/>
  <c r="G53" s="1"/>
  <c r="B53"/>
  <c r="C53" s="1"/>
  <c r="E52"/>
  <c r="F52" s="1"/>
  <c r="G52" s="1"/>
  <c r="B52"/>
  <c r="C52" s="1"/>
  <c r="E51"/>
  <c r="F51" s="1"/>
  <c r="G51" s="1"/>
  <c r="C51"/>
  <c r="B51"/>
  <c r="F50"/>
  <c r="G50" s="1"/>
  <c r="E50"/>
  <c r="B50"/>
  <c r="C50" s="1"/>
  <c r="G49"/>
  <c r="E49"/>
  <c r="F49" s="1"/>
  <c r="B49"/>
  <c r="C49" s="1"/>
  <c r="F43"/>
  <c r="G43" s="1"/>
  <c r="E43"/>
  <c r="B43"/>
  <c r="C43" s="1"/>
  <c r="E42"/>
  <c r="F42" s="1"/>
  <c r="G42" s="1"/>
  <c r="B42"/>
  <c r="C42" s="1"/>
  <c r="E41"/>
  <c r="F41" s="1"/>
  <c r="G41" s="1"/>
  <c r="C41"/>
  <c r="B41"/>
  <c r="E40"/>
  <c r="F40" s="1"/>
  <c r="G40" s="1"/>
  <c r="B40"/>
  <c r="C40" s="1"/>
  <c r="E39"/>
  <c r="F39" s="1"/>
  <c r="G39" s="1"/>
  <c r="B39"/>
  <c r="C39" s="1"/>
  <c r="G38"/>
  <c r="E38"/>
  <c r="F38" s="1"/>
  <c r="B38"/>
  <c r="C38" s="1"/>
  <c r="E32"/>
  <c r="F32" s="1"/>
  <c r="G32" s="1"/>
  <c r="B32"/>
  <c r="C32" s="1"/>
  <c r="Q31"/>
  <c r="Q32" s="1"/>
  <c r="E31"/>
  <c r="F31" s="1"/>
  <c r="G31" s="1"/>
  <c r="B31"/>
  <c r="C31" s="1"/>
  <c r="E30"/>
  <c r="F30" s="1"/>
  <c r="G30" s="1"/>
  <c r="B30"/>
  <c r="C30" s="1"/>
  <c r="E29"/>
  <c r="F29" s="1"/>
  <c r="G29" s="1"/>
  <c r="B29"/>
  <c r="C29" s="1"/>
  <c r="Q28"/>
  <c r="E28"/>
  <c r="F28" s="1"/>
  <c r="G28" s="1"/>
  <c r="B28"/>
  <c r="C28" s="1"/>
  <c r="Q27"/>
  <c r="G27"/>
  <c r="E27"/>
  <c r="F27" s="1"/>
  <c r="B27"/>
  <c r="C27" s="1"/>
  <c r="Q23"/>
  <c r="Q24" s="1"/>
  <c r="E21"/>
  <c r="F21" s="1"/>
  <c r="G21" s="1"/>
  <c r="C21"/>
  <c r="B21"/>
  <c r="E20"/>
  <c r="F20" s="1"/>
  <c r="G20" s="1"/>
  <c r="B20"/>
  <c r="C20" s="1"/>
  <c r="Q19"/>
  <c r="Q20" s="1"/>
  <c r="F19"/>
  <c r="G19" s="1"/>
  <c r="E19"/>
  <c r="C19"/>
  <c r="B19"/>
  <c r="E18"/>
  <c r="F18" s="1"/>
  <c r="G18" s="1"/>
  <c r="B18"/>
  <c r="C18" s="1"/>
  <c r="F17"/>
  <c r="G17" s="1"/>
  <c r="E17"/>
  <c r="B17"/>
  <c r="C17" s="1"/>
  <c r="G16"/>
  <c r="F16"/>
  <c r="E16"/>
  <c r="B16"/>
  <c r="C16" s="1"/>
  <c r="Q15"/>
  <c r="Q16" s="1"/>
  <c r="Q12"/>
  <c r="Q11"/>
  <c r="F10"/>
  <c r="G10" s="1"/>
  <c r="E10"/>
  <c r="B10"/>
  <c r="C10" s="1"/>
  <c r="E9"/>
  <c r="F9" s="1"/>
  <c r="G9" s="1"/>
  <c r="B9"/>
  <c r="C9" s="1"/>
  <c r="E8"/>
  <c r="F8" s="1"/>
  <c r="G8" s="1"/>
  <c r="C8"/>
  <c r="B8"/>
  <c r="Q7"/>
  <c r="Q8" s="1"/>
  <c r="E7"/>
  <c r="F7" s="1"/>
  <c r="G7" s="1"/>
  <c r="B7"/>
  <c r="C7" s="1"/>
  <c r="E6"/>
  <c r="F6" s="1"/>
  <c r="G6" s="1"/>
  <c r="C6"/>
  <c r="B6"/>
  <c r="G5"/>
  <c r="E5"/>
  <c r="F5" s="1"/>
  <c r="B5"/>
  <c r="C5" s="1"/>
  <c r="H21" i="21" l="1"/>
  <c r="G21"/>
  <c r="F21"/>
  <c r="E21"/>
  <c r="D21"/>
  <c r="C21"/>
  <c r="B21"/>
  <c r="H20"/>
  <c r="G20"/>
  <c r="F20"/>
  <c r="E20"/>
  <c r="D20"/>
  <c r="C20"/>
  <c r="B20"/>
  <c r="R19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W10"/>
  <c r="W21" s="1"/>
  <c r="V10"/>
  <c r="V21" s="1"/>
  <c r="U10"/>
  <c r="U21" s="1"/>
  <c r="T10"/>
  <c r="T21" s="1"/>
  <c r="S10"/>
  <c r="S21" s="1"/>
  <c r="R10"/>
  <c r="R21" s="1"/>
  <c r="Q10"/>
  <c r="Q21" s="1"/>
  <c r="W9"/>
  <c r="W20" s="1"/>
  <c r="V9"/>
  <c r="V20" s="1"/>
  <c r="U9"/>
  <c r="U20" s="1"/>
  <c r="T9"/>
  <c r="T20" s="1"/>
  <c r="S9"/>
  <c r="S20" s="1"/>
  <c r="R9"/>
  <c r="R20" s="1"/>
  <c r="Q9"/>
  <c r="Q20" s="1"/>
  <c r="W8"/>
  <c r="W19" s="1"/>
  <c r="V8"/>
  <c r="V19" s="1"/>
  <c r="U8"/>
  <c r="U19" s="1"/>
  <c r="T8"/>
  <c r="T19" s="1"/>
  <c r="S8"/>
  <c r="S19" s="1"/>
  <c r="R8"/>
  <c r="Q8"/>
  <c r="Q19" s="1"/>
  <c r="W7"/>
  <c r="W18" s="1"/>
  <c r="V7"/>
  <c r="V18" s="1"/>
  <c r="U7"/>
  <c r="U18" s="1"/>
  <c r="T7"/>
  <c r="T18" s="1"/>
  <c r="S7"/>
  <c r="S18" s="1"/>
  <c r="R7"/>
  <c r="R18" s="1"/>
  <c r="Q7"/>
  <c r="Q18" s="1"/>
  <c r="W6"/>
  <c r="W17" s="1"/>
  <c r="V6"/>
  <c r="V17" s="1"/>
  <c r="U6"/>
  <c r="U17" s="1"/>
  <c r="T6"/>
  <c r="T17" s="1"/>
  <c r="S6"/>
  <c r="S17" s="1"/>
  <c r="R6"/>
  <c r="R17" s="1"/>
  <c r="Q6"/>
  <c r="Q17" s="1"/>
  <c r="W5"/>
  <c r="W16" s="1"/>
  <c r="V5"/>
  <c r="V16" s="1"/>
  <c r="U5"/>
  <c r="U16" s="1"/>
  <c r="T5"/>
  <c r="T16" s="1"/>
  <c r="S5"/>
  <c r="S16" s="1"/>
  <c r="R5"/>
  <c r="R16" s="1"/>
  <c r="Q5"/>
  <c r="Q16" s="1"/>
  <c r="V26"/>
  <c r="U26"/>
  <c r="T26"/>
  <c r="S26"/>
  <c r="R26"/>
  <c r="Q26"/>
  <c r="P26"/>
</calcChain>
</file>

<file path=xl/connections.xml><?xml version="1.0" encoding="utf-8"?>
<connections xmlns="http://schemas.openxmlformats.org/spreadsheetml/2006/main">
  <connection id="1" name="@4% Fe3O4_SiO2+AcOH 10%KBr (Fe bkgd) vac 50C" type="6" refreshedVersion="3" background="1">
    <textPr codePage="850" sourceFile="D:\My Documents\Aston Work\DRIFTS\3 June 2016 4% Fe3O4 SiO2\4% Fe3O4 on SiO2 + AcOH\processed\@4% Fe3O4_SiO2+AcOH 10%KBr (Fe bkgd) vac 50C.CSV" space="1" consecutive="1">
      <textFields>
        <textField/>
      </textFields>
    </textPr>
  </connection>
  <connection id="2" name="@4% Fe3O4_SiO2+AcOH 10%KBr (Fe bkgd) vac 50C1" type="6" refreshedVersion="3" background="1">
    <textPr codePage="850" sourceFile="D:\My Documents\Aston Work\DRIFTS\3 June 2016 4% Fe3O4 SiO2\4% Fe3O4 on SiO2 + AcOH\processed\@4% Fe3O4_SiO2+AcOH 10%KBr (Fe bkgd) vac 50C.CSV" space="1" consecutive="1">
      <textFields>
        <textField/>
      </textFields>
    </textPr>
  </connection>
  <connection id="3" name="@66%Fe3O4onSiO2+AcOH 10%KBr (Fe3O4 bkgrd) vac1" type="6" refreshedVersion="3" background="1">
    <textPr codePage="850" sourceFile="D:\My Documents\Aston Work\DRIFTS\2ndJan16 Fe3O4+AcOH\66%Fe3O4onSiO2\@66%Fe3O4onSiO2+AcOH 10%KBr (Fe3O4 bkgrd) vac.CSV" space="1" comma="1" semicolon="1" consecutive="1">
      <textFields count="2">
        <textField/>
        <textField/>
      </textFields>
    </textPr>
  </connection>
  <connection id="4" name="peak area vs temp" type="6" refreshedVersion="3" background="1" saveData="1">
    <textPr codePage="850" sourceFile="D:\OneDrive\Aston Work\DRIFTS\2ndJan16 Fe3O4+AcOH\peak area vs temp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<sst xmlns="http://schemas.openxmlformats.org/spreadsheetml/2006/main" count="98" uniqueCount="24">
  <si>
    <t>mass Fe3O4 in 100 mg of 10 wt% Fe3O4/SiO2 in KBr</t>
  </si>
  <si>
    <t>6.3 nm</t>
  </si>
  <si>
    <t>9.7 nm</t>
  </si>
  <si>
    <t>16.6 nm</t>
  </si>
  <si>
    <t>18.3 nm</t>
  </si>
  <si>
    <t>27.8 nm</t>
  </si>
  <si>
    <t>38.9 nm</t>
  </si>
  <si>
    <t>44.7 nm</t>
  </si>
  <si>
    <t>slope=</t>
  </si>
  <si>
    <t>Ea=</t>
  </si>
  <si>
    <t>J mol-1</t>
  </si>
  <si>
    <t>kJ mol-1</t>
  </si>
  <si>
    <t>T (C)</t>
  </si>
  <si>
    <t>T (K)</t>
  </si>
  <si>
    <t>1/T (K)</t>
  </si>
  <si>
    <t>ln rate</t>
  </si>
  <si>
    <t>[acetone] %</t>
  </si>
  <si>
    <t>change in [acetone] %</t>
  </si>
  <si>
    <t>peak area from DRIFTS</t>
  </si>
  <si>
    <t>temp (C)</t>
  </si>
  <si>
    <t xml:space="preserve"> PEAK AREAS, %</t>
  </si>
  <si>
    <t>ABSOLUTE PEAK AREAS FROM DRIFTS</t>
  </si>
  <si>
    <t>PEAK AREAS /g Fe3O4, %</t>
  </si>
  <si>
    <t>PEAK AREAS / mass Fe3O4</t>
  </si>
</sst>
</file>

<file path=xl/styles.xml><?xml version="1.0" encoding="utf-8"?>
<styleSheet xmlns="http://schemas.openxmlformats.org/spreadsheetml/2006/main">
  <numFmts count="1">
    <numFmt numFmtId="166" formatCode="0.000000"/>
  </numFmts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1" fillId="2" borderId="0" xfId="1"/>
    <xf numFmtId="9" fontId="0" fillId="0" borderId="0" xfId="0" applyNumberFormat="1"/>
    <xf numFmtId="166" fontId="0" fillId="0" borderId="0" xfId="0" applyNumberFormat="1"/>
    <xf numFmtId="0" fontId="0" fillId="0" borderId="0" xfId="0" applyFont="1"/>
    <xf numFmtId="11" fontId="0" fillId="0" borderId="0" xfId="0" applyNumberFormat="1"/>
    <xf numFmtId="0" fontId="0" fillId="3" borderId="0" xfId="0" applyFill="1"/>
    <xf numFmtId="9" fontId="0" fillId="3" borderId="0" xfId="0" applyNumberFormat="1" applyFill="1"/>
    <xf numFmtId="9" fontId="1" fillId="2" borderId="0" xfId="1" applyNumberFormat="1"/>
    <xf numFmtId="9" fontId="0" fillId="4" borderId="0" xfId="0" applyNumberFormat="1" applyFill="1"/>
    <xf numFmtId="0" fontId="0" fillId="4" borderId="0" xfId="0" applyFill="1"/>
    <xf numFmtId="0" fontId="0" fillId="5" borderId="0" xfId="0" applyFill="1"/>
    <xf numFmtId="9" fontId="0" fillId="5" borderId="0" xfId="0" applyNumberFormat="1" applyFill="1"/>
    <xf numFmtId="9" fontId="2" fillId="6" borderId="0" xfId="1" applyNumberFormat="1" applyFont="1" applyFill="1"/>
    <xf numFmtId="0" fontId="2" fillId="6" borderId="0" xfId="1" applyFont="1" applyFill="1"/>
    <xf numFmtId="9" fontId="0" fillId="7" borderId="0" xfId="0" applyNumberFormat="1" applyFill="1"/>
    <xf numFmtId="0" fontId="0" fillId="7" borderId="0" xfId="0" applyFill="1"/>
    <xf numFmtId="9" fontId="0" fillId="8" borderId="0" xfId="0" applyNumberFormat="1" applyFill="1"/>
    <xf numFmtId="0" fontId="0" fillId="8" borderId="0" xfId="0" applyFill="1"/>
    <xf numFmtId="9" fontId="0" fillId="9" borderId="0" xfId="0" applyNumberFormat="1" applyFill="1"/>
    <xf numFmtId="9" fontId="0" fillId="10" borderId="0" xfId="0" applyNumberFormat="1" applyFill="1"/>
    <xf numFmtId="9" fontId="0" fillId="11" borderId="0" xfId="0" applyNumberFormat="1" applyFill="1"/>
    <xf numFmtId="9" fontId="0" fillId="12" borderId="0" xfId="0" applyNumberForma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21040916666666684"/>
          <c:y val="4.6890555555555546E-2"/>
          <c:w val="0.73263555555555615"/>
          <c:h val="0.810093611111112"/>
        </c:manualLayout>
      </c:layout>
      <c:scatterChart>
        <c:scatterStyle val="lineMarker"/>
        <c:ser>
          <c:idx val="0"/>
          <c:order val="0"/>
          <c:tx>
            <c:strRef>
              <c:f>'areas vs temp'!$Q$15</c:f>
              <c:strCache>
                <c:ptCount val="1"/>
                <c:pt idx="0">
                  <c:v>6.3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temp'!$Q$16:$Q$21</c:f>
              <c:numCache>
                <c:formatCode>General</c:formatCode>
                <c:ptCount val="6"/>
                <c:pt idx="0">
                  <c:v>99.999999999999986</c:v>
                </c:pt>
                <c:pt idx="1">
                  <c:v>78.737708666819117</c:v>
                </c:pt>
                <c:pt idx="2">
                  <c:v>51.767665218385552</c:v>
                </c:pt>
                <c:pt idx="3">
                  <c:v>33.953807454836493</c:v>
                </c:pt>
                <c:pt idx="4">
                  <c:v>18.639378001372052</c:v>
                </c:pt>
                <c:pt idx="5">
                  <c:v>8.2391950605991298</c:v>
                </c:pt>
              </c:numCache>
            </c:numRef>
          </c:yVal>
        </c:ser>
        <c:ser>
          <c:idx val="1"/>
          <c:order val="1"/>
          <c:tx>
            <c:strRef>
              <c:f>'areas vs temp'!$R$15</c:f>
              <c:strCache>
                <c:ptCount val="1"/>
                <c:pt idx="0">
                  <c:v>9.7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temp'!$R$16:$R$21</c:f>
              <c:numCache>
                <c:formatCode>General</c:formatCode>
                <c:ptCount val="6"/>
                <c:pt idx="0">
                  <c:v>99.999999999999972</c:v>
                </c:pt>
                <c:pt idx="1">
                  <c:v>84.093814684037511</c:v>
                </c:pt>
                <c:pt idx="2">
                  <c:v>53.010471204188484</c:v>
                </c:pt>
                <c:pt idx="3">
                  <c:v>23.076220625837092</c:v>
                </c:pt>
                <c:pt idx="4">
                  <c:v>11.901862900280046</c:v>
                </c:pt>
                <c:pt idx="5">
                  <c:v>0.73968099354681593</c:v>
                </c:pt>
              </c:numCache>
            </c:numRef>
          </c:yVal>
        </c:ser>
        <c:ser>
          <c:idx val="2"/>
          <c:order val="2"/>
          <c:tx>
            <c:strRef>
              <c:f>'areas vs temp'!$S$15</c:f>
              <c:strCache>
                <c:ptCount val="1"/>
                <c:pt idx="0">
                  <c:v>16.6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temp'!$S$16:$S$21</c:f>
              <c:numCache>
                <c:formatCode>General</c:formatCode>
                <c:ptCount val="6"/>
                <c:pt idx="0">
                  <c:v>100.00001316626974</c:v>
                </c:pt>
                <c:pt idx="1">
                  <c:v>89.752266540422625</c:v>
                </c:pt>
                <c:pt idx="2">
                  <c:v>61.054187231465704</c:v>
                </c:pt>
                <c:pt idx="3">
                  <c:v>38.564004111913817</c:v>
                </c:pt>
                <c:pt idx="4">
                  <c:v>11.900113480079016</c:v>
                </c:pt>
                <c:pt idx="5">
                  <c:v>0.21943782924726199</c:v>
                </c:pt>
              </c:numCache>
            </c:numRef>
          </c:yVal>
        </c:ser>
        <c:ser>
          <c:idx val="3"/>
          <c:order val="3"/>
          <c:tx>
            <c:strRef>
              <c:f>'areas vs temp'!$T$15</c:f>
              <c:strCache>
                <c:ptCount val="1"/>
                <c:pt idx="0">
                  <c:v>18.3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temp'!$T$16:$T$21</c:f>
              <c:numCache>
                <c:formatCode>General</c:formatCode>
                <c:ptCount val="6"/>
                <c:pt idx="0">
                  <c:v>99.999998985453956</c:v>
                </c:pt>
                <c:pt idx="1">
                  <c:v>92.299594513339073</c:v>
                </c:pt>
                <c:pt idx="2">
                  <c:v>70.782341107809827</c:v>
                </c:pt>
                <c:pt idx="3">
                  <c:v>24.05108214981211</c:v>
                </c:pt>
                <c:pt idx="4">
                  <c:v>6.5133856009193263</c:v>
                </c:pt>
                <c:pt idx="5">
                  <c:v>4.4386389414364569E-2</c:v>
                </c:pt>
              </c:numCache>
            </c:numRef>
          </c:yVal>
        </c:ser>
        <c:ser>
          <c:idx val="4"/>
          <c:order val="4"/>
          <c:tx>
            <c:strRef>
              <c:f>'areas vs temp'!$U$15</c:f>
              <c:strCache>
                <c:ptCount val="1"/>
                <c:pt idx="0">
                  <c:v>27.8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temp'!$U$16:$U$21</c:f>
              <c:numCache>
                <c:formatCode>General</c:formatCode>
                <c:ptCount val="6"/>
                <c:pt idx="0">
                  <c:v>100.00010040674773</c:v>
                </c:pt>
                <c:pt idx="1">
                  <c:v>92.534858712644905</c:v>
                </c:pt>
                <c:pt idx="2">
                  <c:v>66.341248397257274</c:v>
                </c:pt>
                <c:pt idx="3">
                  <c:v>32.275749059439789</c:v>
                </c:pt>
                <c:pt idx="4">
                  <c:v>11.388635361850858</c:v>
                </c:pt>
                <c:pt idx="5">
                  <c:v>0.35142361707276176</c:v>
                </c:pt>
              </c:numCache>
            </c:numRef>
          </c:yVal>
        </c:ser>
        <c:ser>
          <c:idx val="5"/>
          <c:order val="5"/>
          <c:tx>
            <c:strRef>
              <c:f>'areas vs temp'!$V$15</c:f>
              <c:strCache>
                <c:ptCount val="1"/>
                <c:pt idx="0">
                  <c:v>38.9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temp'!$V$16:$V$21</c:f>
              <c:numCache>
                <c:formatCode>General</c:formatCode>
                <c:ptCount val="6"/>
                <c:pt idx="0">
                  <c:v>100</c:v>
                </c:pt>
                <c:pt idx="1">
                  <c:v>89.413670229996754</c:v>
                </c:pt>
                <c:pt idx="2">
                  <c:v>58.879170715905403</c:v>
                </c:pt>
                <c:pt idx="3">
                  <c:v>35.091242846344883</c:v>
                </c:pt>
                <c:pt idx="4">
                  <c:v>6.0425440017276744</c:v>
                </c:pt>
                <c:pt idx="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'areas vs temp'!$W$15</c:f>
              <c:strCache>
                <c:ptCount val="1"/>
                <c:pt idx="0">
                  <c:v>44.7 nm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temp'!$W$16:$W$21</c:f>
              <c:numCache>
                <c:formatCode>General</c:formatCode>
                <c:ptCount val="6"/>
                <c:pt idx="0">
                  <c:v>99.999991479904409</c:v>
                </c:pt>
                <c:pt idx="1">
                  <c:v>93.795139258054448</c:v>
                </c:pt>
                <c:pt idx="2">
                  <c:v>86.282637582883268</c:v>
                </c:pt>
                <c:pt idx="3">
                  <c:v>61.492863810572828</c:v>
                </c:pt>
                <c:pt idx="4">
                  <c:v>10.931653078614483</c:v>
                </c:pt>
                <c:pt idx="5">
                  <c:v>2.2226336317074513</c:v>
                </c:pt>
              </c:numCache>
            </c:numRef>
          </c:yVal>
        </c:ser>
        <c:axId val="356956800"/>
        <c:axId val="356975744"/>
      </c:scatterChart>
      <c:valAx>
        <c:axId val="356956800"/>
        <c:scaling>
          <c:orientation val="minMax"/>
          <c:max val="4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356975744"/>
        <c:crosses val="autoZero"/>
        <c:crossBetween val="midCat"/>
      </c:valAx>
      <c:valAx>
        <c:axId val="356975744"/>
        <c:scaling>
          <c:orientation val="minMax"/>
          <c:max val="1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 i="0" baseline="0"/>
                  <a:t>Peak area normalised for mass of  Fe</a:t>
                </a:r>
                <a:r>
                  <a:rPr lang="en-GB" sz="1200" b="0" i="0" baseline="-25000"/>
                  <a:t>3</a:t>
                </a:r>
                <a:r>
                  <a:rPr lang="en-GB" sz="1200" b="0" i="0" baseline="0"/>
                  <a:t>O</a:t>
                </a:r>
                <a:r>
                  <a:rPr lang="en-GB" sz="1200" b="0" i="0" baseline="-25000"/>
                  <a:t>4</a:t>
                </a:r>
                <a:r>
                  <a:rPr lang="en-GB" sz="1200" b="0" i="0" baseline="0"/>
                  <a:t> (%)</a:t>
                </a:r>
                <a:endParaRPr lang="en-GB" sz="120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5695680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168055555555538"/>
          <c:y val="0.405725"/>
          <c:w val="0.24134722222222244"/>
          <c:h val="0.435789166666667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8924250000000017"/>
          <c:y val="5.0418333333333426E-2"/>
          <c:w val="0.7538022222222226"/>
          <c:h val="0.81009361111111222"/>
        </c:manualLayout>
      </c:layout>
      <c:scatterChart>
        <c:scatterStyle val="lineMarker"/>
        <c:ser>
          <c:idx val="0"/>
          <c:order val="0"/>
          <c:tx>
            <c:strRef>
              <c:f>'areas vs temp'!$Q$4</c:f>
              <c:strCache>
                <c:ptCount val="1"/>
                <c:pt idx="0">
                  <c:v>6.3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temp'!$Q$5:$Q$10</c:f>
              <c:numCache>
                <c:formatCode>General</c:formatCode>
                <c:ptCount val="6"/>
                <c:pt idx="0">
                  <c:v>109.32499999999999</c:v>
                </c:pt>
                <c:pt idx="1">
                  <c:v>86.08</c:v>
                </c:pt>
                <c:pt idx="2">
                  <c:v>56.594999999999999</c:v>
                </c:pt>
                <c:pt idx="3">
                  <c:v>37.119999999999997</c:v>
                </c:pt>
                <c:pt idx="4">
                  <c:v>20.377499999999998</c:v>
                </c:pt>
                <c:pt idx="5">
                  <c:v>9.0075000000000003</c:v>
                </c:pt>
              </c:numCache>
            </c:numRef>
          </c:yVal>
        </c:ser>
        <c:ser>
          <c:idx val="1"/>
          <c:order val="1"/>
          <c:tx>
            <c:strRef>
              <c:f>'areas vs temp'!$R$4</c:f>
              <c:strCache>
                <c:ptCount val="1"/>
                <c:pt idx="0">
                  <c:v>9.7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temp'!$R$5:$R$10</c:f>
              <c:numCache>
                <c:formatCode>General</c:formatCode>
                <c:ptCount val="6"/>
                <c:pt idx="0">
                  <c:v>82.129999999999981</c:v>
                </c:pt>
                <c:pt idx="1">
                  <c:v>69.066249999999997</c:v>
                </c:pt>
                <c:pt idx="2">
                  <c:v>43.537499999999994</c:v>
                </c:pt>
                <c:pt idx="3">
                  <c:v>18.952500000000001</c:v>
                </c:pt>
                <c:pt idx="4">
                  <c:v>9.7750000000000004</c:v>
                </c:pt>
                <c:pt idx="5">
                  <c:v>0.60749999999999993</c:v>
                </c:pt>
              </c:numCache>
            </c:numRef>
          </c:yVal>
        </c:ser>
        <c:ser>
          <c:idx val="2"/>
          <c:order val="2"/>
          <c:tx>
            <c:strRef>
              <c:f>'areas vs temp'!$S$4</c:f>
              <c:strCache>
                <c:ptCount val="1"/>
                <c:pt idx="0">
                  <c:v>16.6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temp'!$S$5:$S$10</c:f>
              <c:numCache>
                <c:formatCode>General</c:formatCode>
                <c:ptCount val="6"/>
                <c:pt idx="0">
                  <c:v>32.550714285714285</c:v>
                </c:pt>
                <c:pt idx="1">
                  <c:v>29.215000000000003</c:v>
                </c:pt>
                <c:pt idx="2">
                  <c:v>19.873571428571431</c:v>
                </c:pt>
                <c:pt idx="3">
                  <c:v>12.552857142857144</c:v>
                </c:pt>
                <c:pt idx="4">
                  <c:v>3.8735714285714287</c:v>
                </c:pt>
                <c:pt idx="5">
                  <c:v>7.1428571428571438E-2</c:v>
                </c:pt>
              </c:numCache>
            </c:numRef>
          </c:yVal>
        </c:ser>
        <c:ser>
          <c:idx val="3"/>
          <c:order val="3"/>
          <c:tx>
            <c:strRef>
              <c:f>'areas vs temp'!$T$4</c:f>
              <c:strCache>
                <c:ptCount val="1"/>
                <c:pt idx="0">
                  <c:v>18.3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temp'!$T$5:$T$10</c:f>
              <c:numCache>
                <c:formatCode>General</c:formatCode>
                <c:ptCount val="6"/>
                <c:pt idx="0" formatCode="0.000000">
                  <c:v>28.161785714285713</c:v>
                </c:pt>
                <c:pt idx="1">
                  <c:v>25.993214285714288</c:v>
                </c:pt>
                <c:pt idx="2">
                  <c:v>19.93357142857143</c:v>
                </c:pt>
                <c:pt idx="3">
                  <c:v>6.7732142857142863</c:v>
                </c:pt>
                <c:pt idx="4">
                  <c:v>1.8342857142857145</c:v>
                </c:pt>
                <c:pt idx="5">
                  <c:v>1.2500000000000002E-2</c:v>
                </c:pt>
              </c:numCache>
            </c:numRef>
          </c:yVal>
        </c:ser>
        <c:ser>
          <c:idx val="4"/>
          <c:order val="4"/>
          <c:tx>
            <c:strRef>
              <c:f>'areas vs temp'!$U$4</c:f>
              <c:strCache>
                <c:ptCount val="1"/>
                <c:pt idx="0">
                  <c:v>27.8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temp'!$U$5:$U$10</c:f>
              <c:numCache>
                <c:formatCode>General</c:formatCode>
                <c:ptCount val="6"/>
                <c:pt idx="0">
                  <c:v>11.066111111111111</c:v>
                </c:pt>
                <c:pt idx="1">
                  <c:v>10.239999999999998</c:v>
                </c:pt>
                <c:pt idx="2">
                  <c:v>7.3413888888888881</c:v>
                </c:pt>
                <c:pt idx="3">
                  <c:v>3.5716666666666668</c:v>
                </c:pt>
                <c:pt idx="4">
                  <c:v>1.2602777777777778</c:v>
                </c:pt>
                <c:pt idx="5">
                  <c:v>3.888888888888889E-2</c:v>
                </c:pt>
              </c:numCache>
            </c:numRef>
          </c:yVal>
        </c:ser>
        <c:ser>
          <c:idx val="5"/>
          <c:order val="5"/>
          <c:tx>
            <c:strRef>
              <c:f>'areas vs temp'!$V$4</c:f>
              <c:strCache>
                <c:ptCount val="1"/>
                <c:pt idx="0">
                  <c:v>38.9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temp'!$V$5:$V$10</c:f>
              <c:numCache>
                <c:formatCode>General</c:formatCode>
                <c:ptCount val="6"/>
                <c:pt idx="0">
                  <c:v>8.2687500000000007</c:v>
                </c:pt>
                <c:pt idx="1">
                  <c:v>7.3933928571428575</c:v>
                </c:pt>
                <c:pt idx="2">
                  <c:v>4.8685714285714283</c:v>
                </c:pt>
                <c:pt idx="3">
                  <c:v>2.9016071428571428</c:v>
                </c:pt>
                <c:pt idx="4">
                  <c:v>0.49964285714285717</c:v>
                </c:pt>
                <c:pt idx="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'areas vs temp'!$W$4</c:f>
              <c:strCache>
                <c:ptCount val="1"/>
                <c:pt idx="0">
                  <c:v>44.7 nm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temp'!$W$5:$W$10</c:f>
              <c:numCache>
                <c:formatCode>General</c:formatCode>
                <c:ptCount val="6"/>
                <c:pt idx="0">
                  <c:v>4.2849206349206348</c:v>
                </c:pt>
                <c:pt idx="1">
                  <c:v>4.019047619047619</c:v>
                </c:pt>
                <c:pt idx="2">
                  <c:v>3.6971428571428575</c:v>
                </c:pt>
                <c:pt idx="3">
                  <c:v>2.6349206349206353</c:v>
                </c:pt>
                <c:pt idx="4">
                  <c:v>0.46841269841269845</c:v>
                </c:pt>
                <c:pt idx="5">
                  <c:v>9.5238095238095233E-2</c:v>
                </c:pt>
              </c:numCache>
            </c:numRef>
          </c:yVal>
        </c:ser>
        <c:axId val="357065856"/>
        <c:axId val="357068160"/>
      </c:scatterChart>
      <c:valAx>
        <c:axId val="357065856"/>
        <c:scaling>
          <c:orientation val="minMax"/>
          <c:max val="4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357068160"/>
        <c:crosses val="autoZero"/>
        <c:crossBetween val="midCat"/>
      </c:valAx>
      <c:valAx>
        <c:axId val="357068160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Peak area</a:t>
                </a:r>
                <a:r>
                  <a:rPr lang="en-GB" baseline="0"/>
                  <a:t> normalised for mass of </a:t>
                </a:r>
                <a:r>
                  <a:rPr lang="en-GB"/>
                  <a:t> 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(a.u)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5706585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498611111111162"/>
          <c:y val="7.0586111111111183E-2"/>
          <c:w val="0.24487500000000004"/>
          <c:h val="0.3899280514463994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8924250000000026"/>
          <c:y val="5.0418333333333461E-2"/>
          <c:w val="0.7538022222222226"/>
          <c:h val="0.81009361111111244"/>
        </c:manualLayout>
      </c:layout>
      <c:scatterChart>
        <c:scatterStyle val="lineMarker"/>
        <c:ser>
          <c:idx val="0"/>
          <c:order val="0"/>
          <c:tx>
            <c:strRef>
              <c:f>'areas vs temp'!$B$4</c:f>
              <c:strCache>
                <c:ptCount val="1"/>
                <c:pt idx="0">
                  <c:v>6.3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temp'!$B$5:$B$10</c:f>
              <c:numCache>
                <c:formatCode>General</c:formatCode>
                <c:ptCount val="6"/>
                <c:pt idx="0">
                  <c:v>43.73</c:v>
                </c:pt>
                <c:pt idx="1">
                  <c:v>34.432000000000002</c:v>
                </c:pt>
                <c:pt idx="2">
                  <c:v>22.638000000000002</c:v>
                </c:pt>
                <c:pt idx="3">
                  <c:v>14.848000000000001</c:v>
                </c:pt>
                <c:pt idx="4">
                  <c:v>8.1509999999999998</c:v>
                </c:pt>
                <c:pt idx="5">
                  <c:v>3.6030000000000002</c:v>
                </c:pt>
              </c:numCache>
            </c:numRef>
          </c:yVal>
        </c:ser>
        <c:ser>
          <c:idx val="1"/>
          <c:order val="1"/>
          <c:tx>
            <c:strRef>
              <c:f>'areas vs temp'!$C$4</c:f>
              <c:strCache>
                <c:ptCount val="1"/>
                <c:pt idx="0">
                  <c:v>9.7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temp'!$C$5:$C$10</c:f>
              <c:numCache>
                <c:formatCode>General</c:formatCode>
                <c:ptCount val="6"/>
                <c:pt idx="0">
                  <c:v>65.703999999999994</c:v>
                </c:pt>
                <c:pt idx="1">
                  <c:v>55.253</c:v>
                </c:pt>
                <c:pt idx="2">
                  <c:v>34.83</c:v>
                </c:pt>
                <c:pt idx="3">
                  <c:v>15.162000000000001</c:v>
                </c:pt>
                <c:pt idx="4">
                  <c:v>7.82</c:v>
                </c:pt>
                <c:pt idx="5">
                  <c:v>0.48599999999999999</c:v>
                </c:pt>
              </c:numCache>
            </c:numRef>
          </c:yVal>
        </c:ser>
        <c:ser>
          <c:idx val="2"/>
          <c:order val="2"/>
          <c:tx>
            <c:strRef>
              <c:f>'areas vs temp'!$D$4</c:f>
              <c:strCache>
                <c:ptCount val="1"/>
                <c:pt idx="0">
                  <c:v>16.6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temp'!$D$5:$D$10</c:f>
              <c:numCache>
                <c:formatCode>General</c:formatCode>
                <c:ptCount val="6"/>
                <c:pt idx="0">
                  <c:v>45.570999999999998</c:v>
                </c:pt>
                <c:pt idx="1">
                  <c:v>40.901000000000003</c:v>
                </c:pt>
                <c:pt idx="2">
                  <c:v>27.823</c:v>
                </c:pt>
                <c:pt idx="3">
                  <c:v>17.574000000000002</c:v>
                </c:pt>
                <c:pt idx="4">
                  <c:v>5.423</c:v>
                </c:pt>
                <c:pt idx="5">
                  <c:v>0.1</c:v>
                </c:pt>
              </c:numCache>
            </c:numRef>
          </c:yVal>
        </c:ser>
        <c:ser>
          <c:idx val="3"/>
          <c:order val="3"/>
          <c:tx>
            <c:strRef>
              <c:f>'areas vs temp'!$E$4</c:f>
              <c:strCache>
                <c:ptCount val="1"/>
                <c:pt idx="0">
                  <c:v>18.3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temp'!$E$5:$E$10</c:f>
              <c:numCache>
                <c:formatCode>General</c:formatCode>
                <c:ptCount val="6"/>
                <c:pt idx="0">
                  <c:v>78.852999999999994</c:v>
                </c:pt>
                <c:pt idx="1">
                  <c:v>72.781000000000006</c:v>
                </c:pt>
                <c:pt idx="2">
                  <c:v>55.814</c:v>
                </c:pt>
                <c:pt idx="3">
                  <c:v>18.965</c:v>
                </c:pt>
                <c:pt idx="4">
                  <c:v>5.1360000000000001</c:v>
                </c:pt>
                <c:pt idx="5">
                  <c:v>3.5000000000000003E-2</c:v>
                </c:pt>
              </c:numCache>
            </c:numRef>
          </c:yVal>
        </c:ser>
        <c:ser>
          <c:idx val="4"/>
          <c:order val="4"/>
          <c:tx>
            <c:strRef>
              <c:f>'areas vs temp'!$F$4</c:f>
              <c:strCache>
                <c:ptCount val="1"/>
                <c:pt idx="0">
                  <c:v>27.8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temp'!$F$5:$F$10</c:f>
              <c:numCache>
                <c:formatCode>General</c:formatCode>
                <c:ptCount val="6"/>
                <c:pt idx="0">
                  <c:v>39.838000000000001</c:v>
                </c:pt>
                <c:pt idx="1">
                  <c:v>36.863999999999997</c:v>
                </c:pt>
                <c:pt idx="2">
                  <c:v>26.428999999999998</c:v>
                </c:pt>
                <c:pt idx="3">
                  <c:v>12.858000000000001</c:v>
                </c:pt>
                <c:pt idx="4">
                  <c:v>4.5369999999999999</c:v>
                </c:pt>
                <c:pt idx="5">
                  <c:v>0.14000000000000001</c:v>
                </c:pt>
              </c:numCache>
            </c:numRef>
          </c:yVal>
        </c:ser>
        <c:ser>
          <c:idx val="5"/>
          <c:order val="5"/>
          <c:tx>
            <c:strRef>
              <c:f>'areas vs temp'!$G$4</c:f>
              <c:strCache>
                <c:ptCount val="1"/>
                <c:pt idx="0">
                  <c:v>38.9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temp'!$G$5:$G$10</c:f>
              <c:numCache>
                <c:formatCode>General</c:formatCode>
                <c:ptCount val="6"/>
                <c:pt idx="0">
                  <c:v>46.305</c:v>
                </c:pt>
                <c:pt idx="1">
                  <c:v>41.402999999999999</c:v>
                </c:pt>
                <c:pt idx="2">
                  <c:v>27.263999999999999</c:v>
                </c:pt>
                <c:pt idx="3">
                  <c:v>16.248999999999999</c:v>
                </c:pt>
                <c:pt idx="4">
                  <c:v>2.798</c:v>
                </c:pt>
                <c:pt idx="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'areas vs temp'!$H$4</c:f>
              <c:strCache>
                <c:ptCount val="1"/>
                <c:pt idx="0">
                  <c:v>44.7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temp'!$H$5:$H$10</c:f>
              <c:numCache>
                <c:formatCode>General</c:formatCode>
                <c:ptCount val="6"/>
                <c:pt idx="0">
                  <c:v>26.995000000000001</c:v>
                </c:pt>
                <c:pt idx="1">
                  <c:v>25.32</c:v>
                </c:pt>
                <c:pt idx="2">
                  <c:v>23.292000000000002</c:v>
                </c:pt>
                <c:pt idx="3">
                  <c:v>16.600000000000001</c:v>
                </c:pt>
                <c:pt idx="4">
                  <c:v>2.9510000000000001</c:v>
                </c:pt>
                <c:pt idx="5">
                  <c:v>0.6</c:v>
                </c:pt>
              </c:numCache>
            </c:numRef>
          </c:yVal>
        </c:ser>
        <c:axId val="357199232"/>
        <c:axId val="357214080"/>
      </c:scatterChart>
      <c:valAx>
        <c:axId val="357199232"/>
        <c:scaling>
          <c:orientation val="minMax"/>
          <c:max val="4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357214080"/>
        <c:crosses val="autoZero"/>
        <c:crossBetween val="midCat"/>
      </c:valAx>
      <c:valAx>
        <c:axId val="357214080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Peak area</a:t>
                </a:r>
                <a:r>
                  <a:rPr lang="en-GB" baseline="0"/>
                  <a:t> </a:t>
                </a:r>
                <a:r>
                  <a:rPr lang="en-GB"/>
                  <a:t>(a.u)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5719923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201388888888964"/>
          <c:y val="7.0586111111111211E-2"/>
          <c:w val="0.1778471128608928"/>
          <c:h val="0.3899280514463994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3985349495615843"/>
          <c:y val="4.6890555555555546E-2"/>
          <c:w val="0.79260767983287983"/>
          <c:h val="0.81009361111111222"/>
        </c:manualLayout>
      </c:layout>
      <c:scatterChart>
        <c:scatterStyle val="lineMarker"/>
        <c:ser>
          <c:idx val="0"/>
          <c:order val="0"/>
          <c:tx>
            <c:strRef>
              <c:f>'areas vs temp'!$B$15</c:f>
              <c:strCache>
                <c:ptCount val="1"/>
                <c:pt idx="0">
                  <c:v>6.3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temp'!$B$16:$B$21</c:f>
              <c:numCache>
                <c:formatCode>General</c:formatCode>
                <c:ptCount val="6"/>
                <c:pt idx="0">
                  <c:v>100</c:v>
                </c:pt>
                <c:pt idx="1">
                  <c:v>78.737708666819131</c:v>
                </c:pt>
                <c:pt idx="2">
                  <c:v>51.767665218385552</c:v>
                </c:pt>
                <c:pt idx="3">
                  <c:v>33.9538074548365</c:v>
                </c:pt>
                <c:pt idx="4">
                  <c:v>18.639378001372055</c:v>
                </c:pt>
                <c:pt idx="5">
                  <c:v>8.2391950605991315</c:v>
                </c:pt>
              </c:numCache>
            </c:numRef>
          </c:yVal>
        </c:ser>
        <c:ser>
          <c:idx val="1"/>
          <c:order val="1"/>
          <c:tx>
            <c:strRef>
              <c:f>'areas vs temp'!$C$15</c:f>
              <c:strCache>
                <c:ptCount val="1"/>
                <c:pt idx="0">
                  <c:v>9.7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temp'!$C$16:$C$21</c:f>
              <c:numCache>
                <c:formatCode>General</c:formatCode>
                <c:ptCount val="6"/>
                <c:pt idx="0">
                  <c:v>100</c:v>
                </c:pt>
                <c:pt idx="1">
                  <c:v>84.093814684037511</c:v>
                </c:pt>
                <c:pt idx="2">
                  <c:v>53.010471204188484</c:v>
                </c:pt>
                <c:pt idx="3">
                  <c:v>23.076220625837092</c:v>
                </c:pt>
                <c:pt idx="4">
                  <c:v>11.901862900280046</c:v>
                </c:pt>
                <c:pt idx="5">
                  <c:v>0.73968099354681616</c:v>
                </c:pt>
              </c:numCache>
            </c:numRef>
          </c:yVal>
        </c:ser>
        <c:ser>
          <c:idx val="2"/>
          <c:order val="2"/>
          <c:tx>
            <c:strRef>
              <c:f>'areas vs temp'!$D$15</c:f>
              <c:strCache>
                <c:ptCount val="1"/>
                <c:pt idx="0">
                  <c:v>16.6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temp'!$D$16:$D$21</c:f>
              <c:numCache>
                <c:formatCode>General</c:formatCode>
                <c:ptCount val="6"/>
                <c:pt idx="0">
                  <c:v>100</c:v>
                </c:pt>
                <c:pt idx="1">
                  <c:v>89.752254723398664</c:v>
                </c:pt>
                <c:pt idx="2">
                  <c:v>61.054179192907775</c:v>
                </c:pt>
                <c:pt idx="3">
                  <c:v>38.563999034473682</c:v>
                </c:pt>
                <c:pt idx="4">
                  <c:v>11.900111913278181</c:v>
                </c:pt>
                <c:pt idx="5">
                  <c:v>0.21943780035548927</c:v>
                </c:pt>
              </c:numCache>
            </c:numRef>
          </c:yVal>
        </c:ser>
        <c:ser>
          <c:idx val="3"/>
          <c:order val="3"/>
          <c:tx>
            <c:strRef>
              <c:f>'areas vs temp'!$E$15</c:f>
              <c:strCache>
                <c:ptCount val="1"/>
                <c:pt idx="0">
                  <c:v>18.3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temp'!$E$16:$E$21</c:f>
              <c:numCache>
                <c:formatCode>General</c:formatCode>
                <c:ptCount val="6"/>
                <c:pt idx="0">
                  <c:v>100</c:v>
                </c:pt>
                <c:pt idx="1">
                  <c:v>92.299595449760957</c:v>
                </c:pt>
                <c:pt idx="2">
                  <c:v>70.782341825929265</c:v>
                </c:pt>
                <c:pt idx="3">
                  <c:v>24.051082393821417</c:v>
                </c:pt>
                <c:pt idx="4">
                  <c:v>6.5133856670006223</c:v>
                </c:pt>
                <c:pt idx="5">
                  <c:v>4.4386389864684926E-2</c:v>
                </c:pt>
              </c:numCache>
            </c:numRef>
          </c:yVal>
        </c:ser>
        <c:ser>
          <c:idx val="4"/>
          <c:order val="4"/>
          <c:tx>
            <c:strRef>
              <c:f>'areas vs temp'!$F$15</c:f>
              <c:strCache>
                <c:ptCount val="1"/>
                <c:pt idx="0">
                  <c:v>27.8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temp'!$F$16:$F$21</c:f>
              <c:numCache>
                <c:formatCode>General</c:formatCode>
                <c:ptCount val="6"/>
                <c:pt idx="0">
                  <c:v>100</c:v>
                </c:pt>
                <c:pt idx="1">
                  <c:v>92.53476580149605</c:v>
                </c:pt>
                <c:pt idx="2">
                  <c:v>66.341181786234245</c:v>
                </c:pt>
                <c:pt idx="3">
                  <c:v>32.275716652442391</c:v>
                </c:pt>
                <c:pt idx="4">
                  <c:v>11.388623926903961</c:v>
                </c:pt>
                <c:pt idx="5">
                  <c:v>0.3514232642200914</c:v>
                </c:pt>
              </c:numCache>
            </c:numRef>
          </c:yVal>
        </c:ser>
        <c:ser>
          <c:idx val="5"/>
          <c:order val="5"/>
          <c:tx>
            <c:strRef>
              <c:f>'areas vs temp'!$G$15</c:f>
              <c:strCache>
                <c:ptCount val="1"/>
                <c:pt idx="0">
                  <c:v>38.9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temp'!$G$16:$G$21</c:f>
              <c:numCache>
                <c:formatCode>General</c:formatCode>
                <c:ptCount val="6"/>
                <c:pt idx="0">
                  <c:v>100</c:v>
                </c:pt>
                <c:pt idx="1">
                  <c:v>89.413670229996754</c:v>
                </c:pt>
                <c:pt idx="2">
                  <c:v>58.879170715905403</c:v>
                </c:pt>
                <c:pt idx="3">
                  <c:v>35.091242846344883</c:v>
                </c:pt>
                <c:pt idx="4">
                  <c:v>6.0425440017276753</c:v>
                </c:pt>
                <c:pt idx="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'areas vs temp'!$H$15</c:f>
              <c:strCache>
                <c:ptCount val="1"/>
                <c:pt idx="0">
                  <c:v>44.7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temp'!$H$16:$H$21</c:f>
              <c:numCache>
                <c:formatCode>General</c:formatCode>
                <c:ptCount val="6"/>
                <c:pt idx="0">
                  <c:v>100</c:v>
                </c:pt>
                <c:pt idx="1">
                  <c:v>93.79514724949064</c:v>
                </c:pt>
                <c:pt idx="2">
                  <c:v>86.282644934247088</c:v>
                </c:pt>
                <c:pt idx="3">
                  <c:v>61.492869049824037</c:v>
                </c:pt>
                <c:pt idx="4">
                  <c:v>10.931654010001852</c:v>
                </c:pt>
                <c:pt idx="5">
                  <c:v>2.2226338210779772</c:v>
                </c:pt>
              </c:numCache>
            </c:numRef>
          </c:yVal>
        </c:ser>
        <c:axId val="357271424"/>
        <c:axId val="357290368"/>
      </c:scatterChart>
      <c:valAx>
        <c:axId val="357271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357290368"/>
        <c:crosses val="autoZero"/>
        <c:crossBetween val="midCat"/>
      </c:valAx>
      <c:valAx>
        <c:axId val="357290368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Peak area (%)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5727142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495833333333438"/>
          <c:y val="6.0002777777777794E-2"/>
          <c:w val="0.17784711286089269"/>
          <c:h val="0.3899280514463994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3874229428078191"/>
          <c:y val="6.100229667571111E-2"/>
          <c:w val="0.77400574509593068"/>
          <c:h val="0.82256225678063266"/>
        </c:manualLayout>
      </c:layout>
      <c:scatterChart>
        <c:scatterStyle val="lineMarker"/>
        <c:ser>
          <c:idx val="4"/>
          <c:order val="4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787035929051332"/>
                  <c:y val="-0.22873714107147222"/>
                </c:manualLayout>
              </c:layout>
              <c:numFmt formatCode="General" sourceLinked="0"/>
            </c:trendlineLbl>
          </c:trendline>
          <c:xVal>
            <c:numRef>
              <c:f>'Activation energy'!$C$39:$C$43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energy'!$G$39:$G$43</c:f>
              <c:numCache>
                <c:formatCode>General</c:formatCode>
                <c:ptCount val="5"/>
                <c:pt idx="0">
                  <c:v>2.0412728664715969</c:v>
                </c:pt>
                <c:pt idx="1">
                  <c:v>3.3747732584862544</c:v>
                </c:pt>
                <c:pt idx="2">
                  <c:v>4.3300609775403425</c:v>
                </c:pt>
                <c:pt idx="3">
                  <c:v>4.537818263832043</c:v>
                </c:pt>
                <c:pt idx="4">
                  <c:v>4.6047262235527056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80017805773474"/>
                  <c:y val="-0.1253048121841630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'Activation energy'!$C$50:$C$54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energy'!$G$50:$G$54</c:f>
              <c:numCache>
                <c:formatCode>General</c:formatCode>
                <c:ptCount val="5"/>
                <c:pt idx="0">
                  <c:v>2.010256803372974</c:v>
                </c:pt>
                <c:pt idx="1">
                  <c:v>3.5162750786325145</c:v>
                </c:pt>
                <c:pt idx="2">
                  <c:v>4.2154448061146192</c:v>
                </c:pt>
                <c:pt idx="3">
                  <c:v>4.4842602474849107</c:v>
                </c:pt>
                <c:pt idx="4">
                  <c:v>4.601649763925395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787035929051332"/>
                  <c:y val="5.96483833310100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'Activation energy'!$C$72:$C$76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energy'!$G$72:$G$76</c:f>
              <c:numCache>
                <c:formatCode>General</c:formatCode>
                <c:ptCount val="5"/>
                <c:pt idx="0">
                  <c:v>1.825331687594872</c:v>
                </c:pt>
                <c:pt idx="1">
                  <c:v>2.6186618242493163</c:v>
                </c:pt>
                <c:pt idx="2">
                  <c:v>3.6508434436278172</c:v>
                </c:pt>
                <c:pt idx="3">
                  <c:v>4.4894040074947563</c:v>
                </c:pt>
                <c:pt idx="4">
                  <c:v>4.5826931205934205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xVal>
            <c:numRef>
              <c:f>'Activation energy'!$C$61:$C$65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energy'!$G$61:$G$65</c:f>
              <c:numCache>
                <c:formatCode>General</c:formatCode>
                <c:ptCount val="5"/>
                <c:pt idx="0">
                  <c:v>2.3595635244717807</c:v>
                </c:pt>
                <c:pt idx="1">
                  <c:v>3.7165147883583018</c:v>
                </c:pt>
                <c:pt idx="2">
                  <c:v>4.1729825476375266</c:v>
                </c:pt>
                <c:pt idx="3">
                  <c:v>4.5428420840545671</c:v>
                </c:pt>
                <c:pt idx="4">
                  <c:v>4.6051701859880918</c:v>
                </c:pt>
              </c:numCache>
            </c:numRef>
          </c:yVal>
        </c:ser>
        <c:ser>
          <c:idx val="1"/>
          <c:order val="2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80017805773474"/>
                  <c:y val="-0.3442833387397374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'Activation energy'!$C$17:$C$21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energy'!$G$17:$G$21</c:f>
              <c:numCache>
                <c:formatCode>General</c:formatCode>
                <c:ptCount val="5"/>
                <c:pt idx="0">
                  <c:v>2.7667080471625662</c:v>
                </c:pt>
                <c:pt idx="1">
                  <c:v>3.8499247853098497</c:v>
                </c:pt>
                <c:pt idx="2">
                  <c:v>4.3428150533430232</c:v>
                </c:pt>
                <c:pt idx="3">
                  <c:v>4.4784513874259462</c:v>
                </c:pt>
                <c:pt idx="4">
                  <c:v>4.5977458840011298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3226155660113948"/>
                  <c:y val="-0.289138236798739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'Activation energy'!$C$28:$C$32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energy'!$G$28:$G$32</c:f>
              <c:numCache>
                <c:formatCode>General</c:formatCode>
                <c:ptCount val="5"/>
                <c:pt idx="0">
                  <c:v>2.3270577083723012</c:v>
                </c:pt>
                <c:pt idx="1">
                  <c:v>3.6621714702081594</c:v>
                </c:pt>
                <c:pt idx="2">
                  <c:v>4.1179959982693513</c:v>
                </c:pt>
                <c:pt idx="3">
                  <c:v>4.4784712626430503</c:v>
                </c:pt>
                <c:pt idx="4">
                  <c:v>4.6029733968091255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293606993393036"/>
                  <c:y val="-0.421999462222448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'Activation energy'!$C$6:$C$10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energy'!$G$6:$G$10</c:f>
              <c:numCache>
                <c:formatCode>General</c:formatCode>
                <c:ptCount val="5"/>
                <c:pt idx="0">
                  <c:v>3.0569351438316543</c:v>
                </c:pt>
                <c:pt idx="1">
                  <c:v>3.8760296422314853</c:v>
                </c:pt>
                <c:pt idx="2">
                  <c:v>4.1903543842676356</c:v>
                </c:pt>
                <c:pt idx="3">
                  <c:v>4.3988913967286329</c:v>
                </c:pt>
                <c:pt idx="4">
                  <c:v>4.5191852450080194</c:v>
                </c:pt>
              </c:numCache>
            </c:numRef>
          </c:yVal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053463589905595"/>
                  <c:y val="5.196270087654217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'Activation energy'!$C$61:$C$65</c:f>
              <c:numCache>
                <c:formatCode>General</c:formatCode>
                <c:ptCount val="5"/>
                <c:pt idx="0">
                  <c:v>2.6809651474530832E-3</c:v>
                </c:pt>
                <c:pt idx="1">
                  <c:v>2.1141649048625794E-3</c:v>
                </c:pt>
                <c:pt idx="2">
                  <c:v>1.7452006980802793E-3</c:v>
                </c:pt>
                <c:pt idx="3">
                  <c:v>1.6051364365971107E-3</c:v>
                </c:pt>
                <c:pt idx="4">
                  <c:v>1.4858841010401188E-3</c:v>
                </c:pt>
              </c:numCache>
            </c:numRef>
          </c:xVal>
          <c:yVal>
            <c:numRef>
              <c:f>'Activation energy'!$G$61:$G$65</c:f>
              <c:numCache>
                <c:formatCode>General</c:formatCode>
                <c:ptCount val="5"/>
                <c:pt idx="0">
                  <c:v>2.3595635244717807</c:v>
                </c:pt>
                <c:pt idx="1">
                  <c:v>3.7165147883583018</c:v>
                </c:pt>
                <c:pt idx="2">
                  <c:v>4.1729825476375266</c:v>
                </c:pt>
                <c:pt idx="3">
                  <c:v>4.5428420840545671</c:v>
                </c:pt>
                <c:pt idx="4">
                  <c:v>4.6051701859880918</c:v>
                </c:pt>
              </c:numCache>
            </c:numRef>
          </c:yVal>
        </c:ser>
        <c:axId val="372525696"/>
        <c:axId val="372544256"/>
      </c:scatterChart>
      <c:valAx>
        <c:axId val="372525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(K)</a:t>
                </a:r>
              </a:p>
            </c:rich>
          </c:tx>
          <c:layout>
            <c:manualLayout>
              <c:xMode val="edge"/>
              <c:yMode val="edge"/>
              <c:x val="0.46518759882124505"/>
              <c:y val="0.94281654055761055"/>
            </c:manualLayout>
          </c:layout>
        </c:title>
        <c:numFmt formatCode="General" sourceLinked="1"/>
        <c:tickLblPos val="nextTo"/>
        <c:crossAx val="372544256"/>
        <c:crosses val="autoZero"/>
        <c:crossBetween val="midCat"/>
      </c:valAx>
      <c:valAx>
        <c:axId val="3725442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ln rate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39311898512687143"/>
            </c:manualLayout>
          </c:layout>
        </c:title>
        <c:numFmt formatCode="General" sourceLinked="1"/>
        <c:tickLblPos val="nextTo"/>
        <c:crossAx val="372525696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21</xdr:row>
      <xdr:rowOff>38100</xdr:rowOff>
    </xdr:from>
    <xdr:to>
      <xdr:col>29</xdr:col>
      <xdr:colOff>18600</xdr:colOff>
      <xdr:row>40</xdr:row>
      <xdr:rowOff>18600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104775</xdr:colOff>
      <xdr:row>0</xdr:row>
      <xdr:rowOff>152400</xdr:rowOff>
    </xdr:from>
    <xdr:to>
      <xdr:col>29</xdr:col>
      <xdr:colOff>47175</xdr:colOff>
      <xdr:row>19</xdr:row>
      <xdr:rowOff>132900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0</xdr:row>
      <xdr:rowOff>76200</xdr:rowOff>
    </xdr:from>
    <xdr:to>
      <xdr:col>14</xdr:col>
      <xdr:colOff>332925</xdr:colOff>
      <xdr:row>19</xdr:row>
      <xdr:rowOff>56700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20</xdr:row>
      <xdr:rowOff>19050</xdr:rowOff>
    </xdr:from>
    <xdr:to>
      <xdr:col>14</xdr:col>
      <xdr:colOff>475800</xdr:colOff>
      <xdr:row>38</xdr:row>
      <xdr:rowOff>190050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233634</xdr:colOff>
      <xdr:row>5</xdr:row>
      <xdr:rowOff>68829</xdr:rowOff>
    </xdr:from>
    <xdr:to>
      <xdr:col>14</xdr:col>
      <xdr:colOff>467266</xdr:colOff>
      <xdr:row>29</xdr:row>
      <xdr:rowOff>80872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eak area vs temp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selection activeCell="T37" sqref="T37"/>
    </sheetView>
  </sheetViews>
  <sheetFormatPr defaultRowHeight="15"/>
  <cols>
    <col min="1" max="1" width="20.25" bestFit="1" customWidth="1"/>
    <col min="2" max="3" width="7" bestFit="1" customWidth="1"/>
    <col min="4" max="4" width="8.375" customWidth="1"/>
    <col min="5" max="6" width="7" bestFit="1" customWidth="1"/>
    <col min="7" max="8" width="11.125" bestFit="1" customWidth="1"/>
    <col min="9" max="9" width="7.625" customWidth="1"/>
    <col min="10" max="10" width="7" bestFit="1" customWidth="1"/>
    <col min="20" max="20" width="10.625" bestFit="1" customWidth="1"/>
  </cols>
  <sheetData>
    <row r="1" spans="1:23">
      <c r="B1" s="2"/>
      <c r="C1" s="2"/>
      <c r="D1" s="2"/>
      <c r="E1" s="2"/>
      <c r="F1" s="2"/>
      <c r="G1" s="2"/>
      <c r="H1" s="2"/>
    </row>
    <row r="2" spans="1:23">
      <c r="A2" t="s">
        <v>21</v>
      </c>
      <c r="P2" t="s">
        <v>23</v>
      </c>
    </row>
    <row r="3" spans="1:23">
      <c r="B3" s="2">
        <v>0.04</v>
      </c>
      <c r="C3" s="2">
        <v>0.08</v>
      </c>
      <c r="D3" s="2">
        <v>0.14000000000000001</v>
      </c>
      <c r="E3" s="2">
        <v>0.28000000000000003</v>
      </c>
      <c r="F3" s="2">
        <v>0.36</v>
      </c>
      <c r="G3" s="2">
        <v>0.56000000000000005</v>
      </c>
      <c r="H3" s="2">
        <v>0.63</v>
      </c>
      <c r="Q3" s="2">
        <v>0.04</v>
      </c>
      <c r="R3" s="2">
        <v>0.08</v>
      </c>
      <c r="S3" s="2">
        <v>0.14000000000000001</v>
      </c>
      <c r="T3" s="2">
        <v>0.28000000000000003</v>
      </c>
      <c r="U3" s="2">
        <v>0.36</v>
      </c>
      <c r="V3" s="2">
        <v>0.56000000000000005</v>
      </c>
      <c r="W3" s="2">
        <v>0.63</v>
      </c>
    </row>
    <row r="4" spans="1:23">
      <c r="A4" t="s">
        <v>19</v>
      </c>
      <c r="B4">
        <v>6.3</v>
      </c>
      <c r="C4">
        <v>9.6999999999999993</v>
      </c>
      <c r="D4">
        <v>16.600000000000001</v>
      </c>
      <c r="E4">
        <v>18.3</v>
      </c>
      <c r="F4">
        <v>27.8</v>
      </c>
      <c r="G4">
        <v>38.9</v>
      </c>
      <c r="H4">
        <v>44.7</v>
      </c>
      <c r="Q4" t="s">
        <v>1</v>
      </c>
      <c r="R4" t="s">
        <v>2</v>
      </c>
      <c r="S4" t="s">
        <v>3</v>
      </c>
      <c r="T4" t="s">
        <v>4</v>
      </c>
      <c r="U4" t="s">
        <v>5</v>
      </c>
      <c r="V4" t="s">
        <v>6</v>
      </c>
      <c r="W4" t="s">
        <v>7</v>
      </c>
    </row>
    <row r="5" spans="1:23">
      <c r="A5">
        <v>50</v>
      </c>
      <c r="B5">
        <v>43.73</v>
      </c>
      <c r="C5">
        <v>65.703999999999994</v>
      </c>
      <c r="D5">
        <v>45.570999999999998</v>
      </c>
      <c r="E5">
        <v>78.852999999999994</v>
      </c>
      <c r="F5">
        <v>39.838000000000001</v>
      </c>
      <c r="G5">
        <v>46.305</v>
      </c>
      <c r="H5">
        <v>26.995000000000001</v>
      </c>
      <c r="P5">
        <v>50</v>
      </c>
      <c r="Q5">
        <f>B5/0.4</f>
        <v>109.32499999999999</v>
      </c>
      <c r="R5">
        <f>C5/0.8</f>
        <v>82.129999999999981</v>
      </c>
      <c r="S5">
        <f>D5/1.4</f>
        <v>32.550714285714285</v>
      </c>
      <c r="T5" s="3">
        <f>E5/2.8</f>
        <v>28.161785714285713</v>
      </c>
      <c r="U5">
        <f>F5/3.6</f>
        <v>11.066111111111111</v>
      </c>
      <c r="V5">
        <f>G5/5.6</f>
        <v>8.2687500000000007</v>
      </c>
      <c r="W5">
        <f>H5/6.3</f>
        <v>4.2849206349206348</v>
      </c>
    </row>
    <row r="6" spans="1:23">
      <c r="A6">
        <v>100</v>
      </c>
      <c r="B6">
        <v>34.432000000000002</v>
      </c>
      <c r="C6">
        <v>55.253</v>
      </c>
      <c r="D6">
        <v>40.901000000000003</v>
      </c>
      <c r="E6">
        <v>72.781000000000006</v>
      </c>
      <c r="F6">
        <v>36.863999999999997</v>
      </c>
      <c r="G6">
        <v>41.402999999999999</v>
      </c>
      <c r="H6">
        <v>25.32</v>
      </c>
      <c r="P6">
        <v>100</v>
      </c>
      <c r="Q6">
        <f>B6/0.4</f>
        <v>86.08</v>
      </c>
      <c r="R6">
        <f>C6/0.8</f>
        <v>69.066249999999997</v>
      </c>
      <c r="S6">
        <f>D6/1.4</f>
        <v>29.215000000000003</v>
      </c>
      <c r="T6">
        <f>E6/2.8</f>
        <v>25.993214285714288</v>
      </c>
      <c r="U6">
        <f>F6/3.6</f>
        <v>10.239999999999998</v>
      </c>
      <c r="V6">
        <f>G6/5.6</f>
        <v>7.3933928571428575</v>
      </c>
      <c r="W6">
        <f>H6/6.3</f>
        <v>4.019047619047619</v>
      </c>
    </row>
    <row r="7" spans="1:23">
      <c r="A7">
        <v>200</v>
      </c>
      <c r="B7">
        <v>22.638000000000002</v>
      </c>
      <c r="C7">
        <v>34.83</v>
      </c>
      <c r="D7">
        <v>27.823</v>
      </c>
      <c r="E7">
        <v>55.814</v>
      </c>
      <c r="F7">
        <v>26.428999999999998</v>
      </c>
      <c r="G7">
        <v>27.263999999999999</v>
      </c>
      <c r="H7">
        <v>23.292000000000002</v>
      </c>
      <c r="I7" s="2"/>
      <c r="P7">
        <v>200</v>
      </c>
      <c r="Q7">
        <f>B7/0.4</f>
        <v>56.594999999999999</v>
      </c>
      <c r="R7">
        <f>C7/0.8</f>
        <v>43.537499999999994</v>
      </c>
      <c r="S7">
        <f>D7/1.4</f>
        <v>19.873571428571431</v>
      </c>
      <c r="T7">
        <f>E7/2.8</f>
        <v>19.93357142857143</v>
      </c>
      <c r="U7">
        <f>F7/3.6</f>
        <v>7.3413888888888881</v>
      </c>
      <c r="V7">
        <f>G7/5.6</f>
        <v>4.8685714285714283</v>
      </c>
      <c r="W7">
        <f>H7/6.3</f>
        <v>3.6971428571428575</v>
      </c>
    </row>
    <row r="8" spans="1:23">
      <c r="A8">
        <v>300</v>
      </c>
      <c r="B8">
        <v>14.848000000000001</v>
      </c>
      <c r="C8">
        <v>15.162000000000001</v>
      </c>
      <c r="D8">
        <v>17.574000000000002</v>
      </c>
      <c r="E8">
        <v>18.965</v>
      </c>
      <c r="F8">
        <v>12.858000000000001</v>
      </c>
      <c r="G8">
        <v>16.248999999999999</v>
      </c>
      <c r="H8">
        <v>16.600000000000001</v>
      </c>
      <c r="P8">
        <v>300</v>
      </c>
      <c r="Q8">
        <f>B8/0.4</f>
        <v>37.119999999999997</v>
      </c>
      <c r="R8">
        <f>C8/0.8</f>
        <v>18.952500000000001</v>
      </c>
      <c r="S8">
        <f>D8/1.4</f>
        <v>12.552857142857144</v>
      </c>
      <c r="T8">
        <f>E8/2.8</f>
        <v>6.7732142857142863</v>
      </c>
      <c r="U8">
        <f>F8/3.6</f>
        <v>3.5716666666666668</v>
      </c>
      <c r="V8">
        <f>G8/5.6</f>
        <v>2.9016071428571428</v>
      </c>
      <c r="W8">
        <f>H8/6.3</f>
        <v>2.6349206349206353</v>
      </c>
    </row>
    <row r="9" spans="1:23">
      <c r="A9">
        <v>350</v>
      </c>
      <c r="B9">
        <v>8.1509999999999998</v>
      </c>
      <c r="C9">
        <v>7.82</v>
      </c>
      <c r="D9">
        <v>5.423</v>
      </c>
      <c r="E9">
        <v>5.1360000000000001</v>
      </c>
      <c r="F9">
        <v>4.5369999999999999</v>
      </c>
      <c r="G9">
        <v>2.798</v>
      </c>
      <c r="H9">
        <v>2.9510000000000001</v>
      </c>
      <c r="P9">
        <v>350</v>
      </c>
      <c r="Q9">
        <f>B9/0.4</f>
        <v>20.377499999999998</v>
      </c>
      <c r="R9">
        <f>C9/0.8</f>
        <v>9.7750000000000004</v>
      </c>
      <c r="S9">
        <f>D9/1.4</f>
        <v>3.8735714285714287</v>
      </c>
      <c r="T9">
        <f>E9/2.8</f>
        <v>1.8342857142857145</v>
      </c>
      <c r="U9">
        <f>F9/3.6</f>
        <v>1.2602777777777778</v>
      </c>
      <c r="V9">
        <f>G9/5.6</f>
        <v>0.49964285714285717</v>
      </c>
      <c r="W9">
        <f>H9/6.3</f>
        <v>0.46841269841269845</v>
      </c>
    </row>
    <row r="10" spans="1:23">
      <c r="A10">
        <v>400</v>
      </c>
      <c r="B10">
        <v>3.6030000000000002</v>
      </c>
      <c r="C10">
        <v>0.48599999999999999</v>
      </c>
      <c r="D10">
        <v>0.1</v>
      </c>
      <c r="E10">
        <v>3.5000000000000003E-2</v>
      </c>
      <c r="F10">
        <v>0.14000000000000001</v>
      </c>
      <c r="G10">
        <v>0</v>
      </c>
      <c r="H10">
        <v>0.6</v>
      </c>
      <c r="P10">
        <v>400</v>
      </c>
      <c r="Q10">
        <f>B10/0.4</f>
        <v>9.0075000000000003</v>
      </c>
      <c r="R10">
        <f>C10/0.8</f>
        <v>0.60749999999999993</v>
      </c>
      <c r="S10">
        <f>D10/1.4</f>
        <v>7.1428571428571438E-2</v>
      </c>
      <c r="T10">
        <f>E10/2.8</f>
        <v>1.2500000000000002E-2</v>
      </c>
      <c r="U10">
        <f>F10/3.6</f>
        <v>3.888888888888889E-2</v>
      </c>
      <c r="V10">
        <f>G10/5.6</f>
        <v>0</v>
      </c>
      <c r="W10">
        <f>H10/6.3</f>
        <v>9.5238095238095233E-2</v>
      </c>
    </row>
    <row r="13" spans="1:23">
      <c r="A13" t="s">
        <v>20</v>
      </c>
      <c r="P13" t="s">
        <v>22</v>
      </c>
    </row>
    <row r="14" spans="1:23">
      <c r="B14" s="2">
        <v>0.04</v>
      </c>
      <c r="C14" s="2">
        <v>0.08</v>
      </c>
      <c r="D14" s="2">
        <v>0.14000000000000001</v>
      </c>
      <c r="E14" s="2">
        <v>0.28000000000000003</v>
      </c>
      <c r="F14" s="2">
        <v>0.36</v>
      </c>
      <c r="G14" s="2">
        <v>0.56000000000000005</v>
      </c>
      <c r="H14" s="2">
        <v>0.63</v>
      </c>
      <c r="Q14" s="2">
        <v>0.04</v>
      </c>
      <c r="R14" s="2">
        <v>0.08</v>
      </c>
      <c r="S14" s="2">
        <v>0.14000000000000001</v>
      </c>
      <c r="T14" s="2">
        <v>0.28000000000000003</v>
      </c>
      <c r="U14" s="2">
        <v>0.36</v>
      </c>
      <c r="V14" s="2">
        <v>0.56000000000000005</v>
      </c>
      <c r="W14" s="2">
        <v>0.63</v>
      </c>
    </row>
    <row r="15" spans="1:23">
      <c r="A15" t="s">
        <v>19</v>
      </c>
      <c r="B15">
        <v>6.3</v>
      </c>
      <c r="C15">
        <v>9.6999999999999993</v>
      </c>
      <c r="D15">
        <v>16.600000000000001</v>
      </c>
      <c r="E15">
        <v>18.3</v>
      </c>
      <c r="F15">
        <v>27.8</v>
      </c>
      <c r="G15">
        <v>38.9</v>
      </c>
      <c r="H15">
        <v>44.7</v>
      </c>
      <c r="Q15" t="s">
        <v>1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W15" t="s">
        <v>7</v>
      </c>
    </row>
    <row r="16" spans="1:23">
      <c r="A16">
        <v>50</v>
      </c>
      <c r="B16">
        <f t="shared" ref="B16:B21" si="0">(B5/43.73)*100</f>
        <v>100</v>
      </c>
      <c r="C16">
        <f t="shared" ref="C16:C21" si="1">(C5/65.704)*100</f>
        <v>100</v>
      </c>
      <c r="D16">
        <f t="shared" ref="D16:D21" si="2">(D5/45.571)*100</f>
        <v>100</v>
      </c>
      <c r="E16">
        <f t="shared" ref="E16:E21" si="3">(E5/78.853)*100</f>
        <v>100</v>
      </c>
      <c r="F16">
        <f t="shared" ref="F16:F21" si="4">(F5/39.838)*100</f>
        <v>100</v>
      </c>
      <c r="G16">
        <f t="shared" ref="G16:G21" si="5">(G5/46.305)*100</f>
        <v>100</v>
      </c>
      <c r="H16">
        <f t="shared" ref="H16:H21" si="6">(H5/26.995)*100</f>
        <v>100</v>
      </c>
      <c r="P16">
        <v>50</v>
      </c>
      <c r="Q16">
        <f>(Q5/109.325)*100</f>
        <v>99.999999999999986</v>
      </c>
      <c r="R16">
        <f>(R5/82.13)*100</f>
        <v>99.999999999999972</v>
      </c>
      <c r="S16">
        <f>(S5/32.55071)*100</f>
        <v>100.00001316626974</v>
      </c>
      <c r="T16">
        <f>(T5/28.161786)*100</f>
        <v>99.999998985453956</v>
      </c>
      <c r="U16">
        <f>(U5/11.0661)*100</f>
        <v>100.00010040674773</v>
      </c>
      <c r="V16">
        <f>(V5/8.26875)*100</f>
        <v>100</v>
      </c>
      <c r="W16">
        <f>(W5/4.284921)*100</f>
        <v>99.999991479904409</v>
      </c>
    </row>
    <row r="17" spans="1:23">
      <c r="A17">
        <v>100</v>
      </c>
      <c r="B17">
        <f t="shared" si="0"/>
        <v>78.737708666819131</v>
      </c>
      <c r="C17">
        <f t="shared" si="1"/>
        <v>84.093814684037511</v>
      </c>
      <c r="D17">
        <f t="shared" si="2"/>
        <v>89.752254723398664</v>
      </c>
      <c r="E17">
        <f t="shared" si="3"/>
        <v>92.299595449760957</v>
      </c>
      <c r="F17">
        <f t="shared" si="4"/>
        <v>92.53476580149605</v>
      </c>
      <c r="G17">
        <f t="shared" si="5"/>
        <v>89.413670229996754</v>
      </c>
      <c r="H17">
        <f t="shared" si="6"/>
        <v>93.79514724949064</v>
      </c>
      <c r="P17">
        <v>100</v>
      </c>
      <c r="Q17">
        <f t="shared" ref="Q17:Q21" si="7">(Q6/109.325)*100</f>
        <v>78.737708666819117</v>
      </c>
      <c r="R17">
        <f t="shared" ref="R17:R21" si="8">(R6/82.13)*100</f>
        <v>84.093814684037511</v>
      </c>
      <c r="S17">
        <f t="shared" ref="S17:S21" si="9">(S6/32.55071)*100</f>
        <v>89.752266540422625</v>
      </c>
      <c r="T17">
        <f t="shared" ref="T17:T21" si="10">(T6/28.161786)*100</f>
        <v>92.299594513339073</v>
      </c>
      <c r="U17">
        <f t="shared" ref="U17:U21" si="11">(U6/11.0661)*100</f>
        <v>92.534858712644905</v>
      </c>
      <c r="V17">
        <f t="shared" ref="V17:V21" si="12">(V6/8.26875)*100</f>
        <v>89.413670229996754</v>
      </c>
      <c r="W17">
        <f t="shared" ref="W17:W21" si="13">(W6/4.284921)*100</f>
        <v>93.795139258054448</v>
      </c>
    </row>
    <row r="18" spans="1:23">
      <c r="A18">
        <v>200</v>
      </c>
      <c r="B18">
        <f t="shared" si="0"/>
        <v>51.767665218385552</v>
      </c>
      <c r="C18">
        <f t="shared" si="1"/>
        <v>53.010471204188484</v>
      </c>
      <c r="D18">
        <f t="shared" si="2"/>
        <v>61.054179192907775</v>
      </c>
      <c r="E18">
        <f t="shared" si="3"/>
        <v>70.782341825929265</v>
      </c>
      <c r="F18">
        <f t="shared" si="4"/>
        <v>66.341181786234245</v>
      </c>
      <c r="G18">
        <f t="shared" si="5"/>
        <v>58.879170715905403</v>
      </c>
      <c r="H18">
        <f t="shared" si="6"/>
        <v>86.282644934247088</v>
      </c>
      <c r="P18">
        <v>200</v>
      </c>
      <c r="Q18">
        <f t="shared" si="7"/>
        <v>51.767665218385552</v>
      </c>
      <c r="R18">
        <f t="shared" si="8"/>
        <v>53.010471204188484</v>
      </c>
      <c r="S18">
        <f t="shared" si="9"/>
        <v>61.054187231465704</v>
      </c>
      <c r="T18">
        <f t="shared" si="10"/>
        <v>70.782341107809827</v>
      </c>
      <c r="U18">
        <f t="shared" si="11"/>
        <v>66.341248397257274</v>
      </c>
      <c r="V18">
        <f t="shared" si="12"/>
        <v>58.879170715905403</v>
      </c>
      <c r="W18">
        <f t="shared" si="13"/>
        <v>86.282637582883268</v>
      </c>
    </row>
    <row r="19" spans="1:23">
      <c r="A19">
        <v>300</v>
      </c>
      <c r="B19">
        <f t="shared" si="0"/>
        <v>33.9538074548365</v>
      </c>
      <c r="C19">
        <f t="shared" si="1"/>
        <v>23.076220625837092</v>
      </c>
      <c r="D19">
        <f t="shared" si="2"/>
        <v>38.563999034473682</v>
      </c>
      <c r="E19">
        <f t="shared" si="3"/>
        <v>24.051082393821417</v>
      </c>
      <c r="F19">
        <f t="shared" si="4"/>
        <v>32.275716652442391</v>
      </c>
      <c r="G19">
        <f t="shared" si="5"/>
        <v>35.091242846344883</v>
      </c>
      <c r="H19">
        <f t="shared" si="6"/>
        <v>61.492869049824037</v>
      </c>
      <c r="P19">
        <v>300</v>
      </c>
      <c r="Q19">
        <f t="shared" si="7"/>
        <v>33.953807454836493</v>
      </c>
      <c r="R19">
        <f t="shared" si="8"/>
        <v>23.076220625837092</v>
      </c>
      <c r="S19">
        <f t="shared" si="9"/>
        <v>38.564004111913817</v>
      </c>
      <c r="T19">
        <f t="shared" si="10"/>
        <v>24.05108214981211</v>
      </c>
      <c r="U19">
        <f t="shared" si="11"/>
        <v>32.275749059439789</v>
      </c>
      <c r="V19">
        <f t="shared" si="12"/>
        <v>35.091242846344883</v>
      </c>
      <c r="W19">
        <f t="shared" si="13"/>
        <v>61.492863810572828</v>
      </c>
    </row>
    <row r="20" spans="1:23">
      <c r="A20">
        <v>350</v>
      </c>
      <c r="B20">
        <f t="shared" si="0"/>
        <v>18.639378001372055</v>
      </c>
      <c r="C20">
        <f t="shared" si="1"/>
        <v>11.901862900280046</v>
      </c>
      <c r="D20">
        <f t="shared" si="2"/>
        <v>11.900111913278181</v>
      </c>
      <c r="E20">
        <f t="shared" si="3"/>
        <v>6.5133856670006223</v>
      </c>
      <c r="F20">
        <f t="shared" si="4"/>
        <v>11.388623926903961</v>
      </c>
      <c r="G20">
        <f t="shared" si="5"/>
        <v>6.0425440017276753</v>
      </c>
      <c r="H20">
        <f t="shared" si="6"/>
        <v>10.931654010001852</v>
      </c>
      <c r="P20">
        <v>350</v>
      </c>
      <c r="Q20">
        <f t="shared" si="7"/>
        <v>18.639378001372052</v>
      </c>
      <c r="R20">
        <f t="shared" si="8"/>
        <v>11.901862900280046</v>
      </c>
      <c r="S20">
        <f t="shared" si="9"/>
        <v>11.900113480079016</v>
      </c>
      <c r="T20">
        <f t="shared" si="10"/>
        <v>6.5133856009193263</v>
      </c>
      <c r="U20">
        <f t="shared" si="11"/>
        <v>11.388635361850858</v>
      </c>
      <c r="V20">
        <f t="shared" si="12"/>
        <v>6.0425440017276744</v>
      </c>
      <c r="W20">
        <f t="shared" si="13"/>
        <v>10.931653078614483</v>
      </c>
    </row>
    <row r="21" spans="1:23">
      <c r="A21">
        <v>400</v>
      </c>
      <c r="B21">
        <f t="shared" si="0"/>
        <v>8.2391950605991315</v>
      </c>
      <c r="C21">
        <f t="shared" si="1"/>
        <v>0.73968099354681616</v>
      </c>
      <c r="D21">
        <f t="shared" si="2"/>
        <v>0.21943780035548927</v>
      </c>
      <c r="E21">
        <f t="shared" si="3"/>
        <v>4.4386389864684926E-2</v>
      </c>
      <c r="F21">
        <f t="shared" si="4"/>
        <v>0.3514232642200914</v>
      </c>
      <c r="G21">
        <f t="shared" si="5"/>
        <v>0</v>
      </c>
      <c r="H21">
        <f t="shared" si="6"/>
        <v>2.2226338210779772</v>
      </c>
      <c r="P21">
        <v>400</v>
      </c>
      <c r="Q21">
        <f t="shared" si="7"/>
        <v>8.2391950605991298</v>
      </c>
      <c r="R21">
        <f t="shared" si="8"/>
        <v>0.73968099354681593</v>
      </c>
      <c r="S21">
        <f t="shared" si="9"/>
        <v>0.21943782924726199</v>
      </c>
      <c r="T21">
        <f t="shared" si="10"/>
        <v>4.4386389414364569E-2</v>
      </c>
      <c r="U21">
        <f t="shared" si="11"/>
        <v>0.35142361707276176</v>
      </c>
      <c r="V21">
        <f t="shared" si="12"/>
        <v>0</v>
      </c>
      <c r="W21">
        <f t="shared" si="13"/>
        <v>2.2226336317074513</v>
      </c>
    </row>
    <row r="24" spans="1:23">
      <c r="P24" t="s">
        <v>0</v>
      </c>
    </row>
    <row r="25" spans="1:23">
      <c r="P25" s="2">
        <v>0.04</v>
      </c>
      <c r="Q25" s="2">
        <v>0.08</v>
      </c>
      <c r="R25" s="2">
        <v>0.14000000000000001</v>
      </c>
      <c r="S25" s="2">
        <v>0.28000000000000003</v>
      </c>
      <c r="T25" s="2">
        <v>0.36</v>
      </c>
      <c r="U25" s="2">
        <v>0.56000000000000005</v>
      </c>
      <c r="V25" s="2">
        <v>0.63</v>
      </c>
    </row>
    <row r="26" spans="1:23">
      <c r="P26">
        <f>10*0.04</f>
        <v>0.4</v>
      </c>
      <c r="Q26">
        <f>10*0.08</f>
        <v>0.8</v>
      </c>
      <c r="R26">
        <f>10*0.14</f>
        <v>1.4000000000000001</v>
      </c>
      <c r="S26">
        <f>10*0.28</f>
        <v>2.8000000000000003</v>
      </c>
      <c r="T26">
        <f>10*0.36</f>
        <v>3.5999999999999996</v>
      </c>
      <c r="U26">
        <f>10*0.56</f>
        <v>5.6000000000000005</v>
      </c>
      <c r="V26">
        <f>10*0.63</f>
        <v>6.3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106" zoomScaleNormal="106" workbookViewId="0">
      <selection activeCell="K37" sqref="K37"/>
    </sheetView>
  </sheetViews>
  <sheetFormatPr defaultRowHeight="15"/>
  <cols>
    <col min="4" max="4" width="19.625" customWidth="1"/>
    <col min="5" max="5" width="14.75" customWidth="1"/>
    <col min="6" max="6" width="18.375" customWidth="1"/>
    <col min="16" max="16" width="12" bestFit="1" customWidth="1"/>
  </cols>
  <sheetData>
    <row r="1" spans="1:23">
      <c r="A1" s="7">
        <v>0.04</v>
      </c>
      <c r="W1" s="4"/>
    </row>
    <row r="2" spans="1:23">
      <c r="W2" s="4"/>
    </row>
    <row r="3" spans="1:23">
      <c r="A3" t="s">
        <v>12</v>
      </c>
      <c r="B3" t="s">
        <v>13</v>
      </c>
      <c r="C3" t="s">
        <v>14</v>
      </c>
      <c r="D3" t="s">
        <v>18</v>
      </c>
      <c r="E3" t="s">
        <v>16</v>
      </c>
      <c r="F3" t="s">
        <v>17</v>
      </c>
      <c r="G3" t="s">
        <v>15</v>
      </c>
      <c r="W3" s="4"/>
    </row>
    <row r="4" spans="1:23">
      <c r="W4" s="4"/>
    </row>
    <row r="5" spans="1:23">
      <c r="A5">
        <v>50</v>
      </c>
      <c r="B5">
        <f>A5+273</f>
        <v>323</v>
      </c>
      <c r="C5">
        <f>1/B5</f>
        <v>3.0959752321981426E-3</v>
      </c>
      <c r="D5">
        <v>43.73</v>
      </c>
      <c r="E5">
        <f>D5/43.73*100</f>
        <v>100</v>
      </c>
      <c r="F5">
        <f t="shared" ref="F5:F10" si="0">E5-100</f>
        <v>0</v>
      </c>
      <c r="G5" t="e">
        <f>LN(#REF!)</f>
        <v>#REF!</v>
      </c>
      <c r="P5" s="7">
        <v>0.04</v>
      </c>
      <c r="Q5" s="6"/>
      <c r="R5" s="6"/>
      <c r="W5" s="4"/>
    </row>
    <row r="6" spans="1:23">
      <c r="A6">
        <v>100</v>
      </c>
      <c r="B6">
        <f t="shared" ref="B6:B10" si="1">A6+273</f>
        <v>373</v>
      </c>
      <c r="C6">
        <f t="shared" ref="C6:C10" si="2">1/B6</f>
        <v>2.6809651474530832E-3</v>
      </c>
      <c r="D6">
        <v>34.432000000000002</v>
      </c>
      <c r="E6">
        <f t="shared" ref="E6:E10" si="3">D6/43.73*100</f>
        <v>78.737708666819131</v>
      </c>
      <c r="F6">
        <f t="shared" si="0"/>
        <v>-21.262291333180869</v>
      </c>
      <c r="G6">
        <f>(LN(-F6))</f>
        <v>3.0569351438316543</v>
      </c>
      <c r="P6" s="6" t="s">
        <v>8</v>
      </c>
      <c r="Q6" s="6">
        <v>-1205</v>
      </c>
      <c r="R6" s="6"/>
      <c r="W6" s="4"/>
    </row>
    <row r="7" spans="1:23">
      <c r="A7">
        <v>200</v>
      </c>
      <c r="B7">
        <f t="shared" si="1"/>
        <v>473</v>
      </c>
      <c r="C7">
        <f t="shared" si="2"/>
        <v>2.1141649048625794E-3</v>
      </c>
      <c r="D7">
        <v>22.638000000000002</v>
      </c>
      <c r="E7">
        <f t="shared" si="3"/>
        <v>51.767665218385552</v>
      </c>
      <c r="F7">
        <f t="shared" si="0"/>
        <v>-48.232334781614448</v>
      </c>
      <c r="G7">
        <f t="shared" ref="G7:G10" si="4">(LN(-F7))</f>
        <v>3.8760296422314853</v>
      </c>
      <c r="P7" s="6" t="s">
        <v>9</v>
      </c>
      <c r="Q7" s="6">
        <f>Q6*-8.314</f>
        <v>10018.370000000001</v>
      </c>
      <c r="R7" s="6" t="s">
        <v>10</v>
      </c>
      <c r="W7" s="4"/>
    </row>
    <row r="8" spans="1:23">
      <c r="A8">
        <v>300</v>
      </c>
      <c r="B8">
        <f t="shared" si="1"/>
        <v>573</v>
      </c>
      <c r="C8">
        <f t="shared" si="2"/>
        <v>1.7452006980802793E-3</v>
      </c>
      <c r="D8">
        <v>14.848000000000001</v>
      </c>
      <c r="E8">
        <f t="shared" si="3"/>
        <v>33.9538074548365</v>
      </c>
      <c r="F8">
        <f t="shared" si="0"/>
        <v>-66.046192545163507</v>
      </c>
      <c r="G8">
        <f t="shared" si="4"/>
        <v>4.1903543842676356</v>
      </c>
      <c r="P8" s="6"/>
      <c r="Q8" s="6">
        <f>Q7/1000</f>
        <v>10.018370000000001</v>
      </c>
      <c r="R8" s="6" t="s">
        <v>11</v>
      </c>
      <c r="W8" s="4"/>
    </row>
    <row r="9" spans="1:23">
      <c r="A9">
        <v>350</v>
      </c>
      <c r="B9">
        <f t="shared" si="1"/>
        <v>623</v>
      </c>
      <c r="C9">
        <f t="shared" si="2"/>
        <v>1.6051364365971107E-3</v>
      </c>
      <c r="D9">
        <v>8.1509999999999998</v>
      </c>
      <c r="E9">
        <f t="shared" si="3"/>
        <v>18.639378001372055</v>
      </c>
      <c r="F9">
        <f t="shared" si="0"/>
        <v>-81.360621998627948</v>
      </c>
      <c r="G9">
        <f t="shared" si="4"/>
        <v>4.3988913967286329</v>
      </c>
      <c r="P9" s="9">
        <v>0.08</v>
      </c>
      <c r="Q9" s="10"/>
      <c r="R9" s="10"/>
      <c r="W9" s="4"/>
    </row>
    <row r="10" spans="1:23">
      <c r="A10">
        <v>400</v>
      </c>
      <c r="B10">
        <f t="shared" si="1"/>
        <v>673</v>
      </c>
      <c r="C10">
        <f t="shared" si="2"/>
        <v>1.4858841010401188E-3</v>
      </c>
      <c r="D10">
        <v>3.6030000000000002</v>
      </c>
      <c r="E10">
        <f t="shared" si="3"/>
        <v>8.2391950605991315</v>
      </c>
      <c r="F10">
        <f t="shared" si="0"/>
        <v>-91.76080493940087</v>
      </c>
      <c r="G10">
        <f t="shared" si="4"/>
        <v>4.5191852450080194</v>
      </c>
      <c r="P10" s="10" t="s">
        <v>8</v>
      </c>
      <c r="Q10" s="10">
        <v>-1538</v>
      </c>
      <c r="R10" s="10"/>
      <c r="W10" s="4"/>
    </row>
    <row r="11" spans="1:23">
      <c r="P11" s="10" t="s">
        <v>9</v>
      </c>
      <c r="Q11" s="10">
        <f>Q10*-8.314</f>
        <v>12786.932000000001</v>
      </c>
      <c r="R11" s="10" t="s">
        <v>10</v>
      </c>
      <c r="W11" s="4"/>
    </row>
    <row r="12" spans="1:23">
      <c r="A12" s="9">
        <v>0.08</v>
      </c>
      <c r="P12" s="10"/>
      <c r="Q12" s="10">
        <f>Q11/1000</f>
        <v>12.786932</v>
      </c>
      <c r="R12" s="10" t="s">
        <v>11</v>
      </c>
      <c r="W12" s="4"/>
    </row>
    <row r="13" spans="1:23">
      <c r="P13" s="12">
        <v>0.14000000000000001</v>
      </c>
      <c r="Q13" s="11"/>
      <c r="R13" s="11"/>
    </row>
    <row r="14" spans="1:23">
      <c r="A14" t="s">
        <v>12</v>
      </c>
      <c r="B14" t="s">
        <v>13</v>
      </c>
      <c r="C14" t="s">
        <v>14</v>
      </c>
      <c r="D14" t="s">
        <v>18</v>
      </c>
      <c r="E14" t="s">
        <v>16</v>
      </c>
      <c r="F14" t="s">
        <v>17</v>
      </c>
      <c r="G14" t="s">
        <v>15</v>
      </c>
      <c r="P14" s="11" t="s">
        <v>8</v>
      </c>
      <c r="Q14" s="11">
        <v>-1890</v>
      </c>
      <c r="R14" s="11"/>
    </row>
    <row r="15" spans="1:23">
      <c r="P15" s="11" t="s">
        <v>9</v>
      </c>
      <c r="Q15" s="11">
        <f>Q14*-8.314</f>
        <v>15713.460000000001</v>
      </c>
      <c r="R15" s="11" t="s">
        <v>10</v>
      </c>
    </row>
    <row r="16" spans="1:23">
      <c r="A16">
        <v>50</v>
      </c>
      <c r="B16">
        <f>A16+273</f>
        <v>323</v>
      </c>
      <c r="C16">
        <f>1/B16</f>
        <v>3.0959752321981426E-3</v>
      </c>
      <c r="D16">
        <v>65.703999999999994</v>
      </c>
      <c r="E16">
        <f>D16/65.704*100</f>
        <v>100</v>
      </c>
      <c r="F16">
        <f t="shared" ref="F16:F21" si="5">E16-100</f>
        <v>0</v>
      </c>
      <c r="G16" t="e">
        <f>LN(#REF!)</f>
        <v>#REF!</v>
      </c>
      <c r="M16" s="5"/>
      <c r="P16" s="11"/>
      <c r="Q16" s="11">
        <f>Q15/1000</f>
        <v>15.713460000000001</v>
      </c>
      <c r="R16" s="11" t="s">
        <v>11</v>
      </c>
    </row>
    <row r="17" spans="1:18">
      <c r="A17">
        <v>100</v>
      </c>
      <c r="B17">
        <f t="shared" ref="B17:B21" si="6">A17+273</f>
        <v>373</v>
      </c>
      <c r="C17">
        <f t="shared" ref="C17:C21" si="7">1/B17</f>
        <v>2.6809651474530832E-3</v>
      </c>
      <c r="D17">
        <v>55.253</v>
      </c>
      <c r="E17">
        <f t="shared" ref="E17:E21" si="8">D17/65.704*100</f>
        <v>84.093814684037511</v>
      </c>
      <c r="F17">
        <f t="shared" si="5"/>
        <v>-15.906185315962489</v>
      </c>
      <c r="G17">
        <f>LN(-F17)</f>
        <v>2.7667080471625662</v>
      </c>
      <c r="P17" s="17">
        <v>0.28000000000000003</v>
      </c>
      <c r="Q17" s="18"/>
      <c r="R17" s="18"/>
    </row>
    <row r="18" spans="1:18">
      <c r="A18">
        <v>200</v>
      </c>
      <c r="B18">
        <f t="shared" si="6"/>
        <v>473</v>
      </c>
      <c r="C18">
        <f t="shared" si="7"/>
        <v>2.1141649048625794E-3</v>
      </c>
      <c r="D18">
        <v>34.83</v>
      </c>
      <c r="E18">
        <f t="shared" si="8"/>
        <v>53.010471204188484</v>
      </c>
      <c r="F18">
        <f t="shared" si="5"/>
        <v>-46.989528795811516</v>
      </c>
      <c r="G18">
        <f t="shared" ref="G18:G21" si="9">LN(-F18)</f>
        <v>3.8499247853098497</v>
      </c>
      <c r="P18" s="18" t="s">
        <v>8</v>
      </c>
      <c r="Q18" s="18">
        <v>-2241</v>
      </c>
      <c r="R18" s="18"/>
    </row>
    <row r="19" spans="1:18">
      <c r="A19">
        <v>300</v>
      </c>
      <c r="B19">
        <f t="shared" si="6"/>
        <v>573</v>
      </c>
      <c r="C19">
        <f t="shared" si="7"/>
        <v>1.7452006980802793E-3</v>
      </c>
      <c r="D19">
        <v>15.162000000000001</v>
      </c>
      <c r="E19">
        <f t="shared" si="8"/>
        <v>23.076220625837092</v>
      </c>
      <c r="F19">
        <f t="shared" si="5"/>
        <v>-76.923779374162905</v>
      </c>
      <c r="G19">
        <f t="shared" si="9"/>
        <v>4.3428150533430232</v>
      </c>
      <c r="P19" s="18" t="s">
        <v>9</v>
      </c>
      <c r="Q19" s="18">
        <f>Q18*-8.314</f>
        <v>18631.673999999999</v>
      </c>
      <c r="R19" s="18" t="s">
        <v>10</v>
      </c>
    </row>
    <row r="20" spans="1:18">
      <c r="A20">
        <v>350</v>
      </c>
      <c r="B20">
        <f t="shared" si="6"/>
        <v>623</v>
      </c>
      <c r="C20">
        <f t="shared" si="7"/>
        <v>1.6051364365971107E-3</v>
      </c>
      <c r="D20">
        <v>7.82</v>
      </c>
      <c r="E20">
        <f t="shared" si="8"/>
        <v>11.901862900280046</v>
      </c>
      <c r="F20">
        <f t="shared" si="5"/>
        <v>-88.098137099719949</v>
      </c>
      <c r="G20">
        <f t="shared" si="9"/>
        <v>4.4784513874259462</v>
      </c>
      <c r="P20" s="18"/>
      <c r="Q20" s="18">
        <f>Q19/1000</f>
        <v>18.631674</v>
      </c>
      <c r="R20" s="18" t="s">
        <v>11</v>
      </c>
    </row>
    <row r="21" spans="1:18">
      <c r="A21">
        <v>400</v>
      </c>
      <c r="B21">
        <f t="shared" si="6"/>
        <v>673</v>
      </c>
      <c r="C21">
        <f t="shared" si="7"/>
        <v>1.4858841010401188E-3</v>
      </c>
      <c r="D21">
        <v>0.48599999999999999</v>
      </c>
      <c r="E21">
        <f t="shared" si="8"/>
        <v>0.73968099354681616</v>
      </c>
      <c r="F21">
        <f t="shared" si="5"/>
        <v>-99.260319006453187</v>
      </c>
      <c r="G21">
        <f t="shared" si="9"/>
        <v>4.5977458840011298</v>
      </c>
      <c r="P21" s="15">
        <v>0.36</v>
      </c>
      <c r="Q21" s="16"/>
      <c r="R21" s="16"/>
    </row>
    <row r="22" spans="1:18">
      <c r="P22" s="16" t="s">
        <v>8</v>
      </c>
      <c r="Q22" s="16">
        <v>-2195</v>
      </c>
      <c r="R22" s="16"/>
    </row>
    <row r="23" spans="1:18">
      <c r="A23" s="20">
        <v>0.14000000000000001</v>
      </c>
      <c r="P23" s="16" t="s">
        <v>9</v>
      </c>
      <c r="Q23" s="16">
        <f>Q22*-8.314</f>
        <v>18249.23</v>
      </c>
      <c r="R23" s="16" t="s">
        <v>10</v>
      </c>
    </row>
    <row r="24" spans="1:18">
      <c r="P24" s="16"/>
      <c r="Q24" s="16">
        <f>Q23/1000</f>
        <v>18.249230000000001</v>
      </c>
      <c r="R24" s="16" t="s">
        <v>11</v>
      </c>
    </row>
    <row r="25" spans="1:18">
      <c r="A25" t="s">
        <v>12</v>
      </c>
      <c r="B25" t="s">
        <v>13</v>
      </c>
      <c r="C25" t="s">
        <v>14</v>
      </c>
      <c r="D25" t="s">
        <v>18</v>
      </c>
      <c r="E25" t="s">
        <v>16</v>
      </c>
      <c r="F25" t="s">
        <v>17</v>
      </c>
      <c r="G25" t="s">
        <v>15</v>
      </c>
      <c r="P25" s="8">
        <v>0.56000000000000005</v>
      </c>
      <c r="Q25" s="1"/>
      <c r="R25" s="1"/>
    </row>
    <row r="26" spans="1:18">
      <c r="P26" s="1" t="s">
        <v>8</v>
      </c>
      <c r="Q26" s="1">
        <v>-1887</v>
      </c>
      <c r="R26" s="1"/>
    </row>
    <row r="27" spans="1:18">
      <c r="A27">
        <v>50</v>
      </c>
      <c r="B27">
        <f>A27+273</f>
        <v>323</v>
      </c>
      <c r="C27">
        <f>1/B27</f>
        <v>3.0959752321981426E-3</v>
      </c>
      <c r="D27">
        <v>45.570999999999998</v>
      </c>
      <c r="E27">
        <f>D27/45.571*100</f>
        <v>100</v>
      </c>
      <c r="F27">
        <f t="shared" ref="F27:F32" si="10">E27-100</f>
        <v>0</v>
      </c>
      <c r="G27" t="e">
        <f>LN(#REF!)</f>
        <v>#REF!</v>
      </c>
      <c r="P27" s="1" t="s">
        <v>9</v>
      </c>
      <c r="Q27" s="1">
        <f>Q26*-8.314</f>
        <v>15688.518</v>
      </c>
      <c r="R27" s="1" t="s">
        <v>10</v>
      </c>
    </row>
    <row r="28" spans="1:18">
      <c r="A28">
        <v>100</v>
      </c>
      <c r="B28">
        <f t="shared" ref="B28:B32" si="11">A28+273</f>
        <v>373</v>
      </c>
      <c r="C28">
        <f t="shared" ref="C28:C32" si="12">1/B28</f>
        <v>2.6809651474530832E-3</v>
      </c>
      <c r="D28">
        <v>40.901000000000003</v>
      </c>
      <c r="E28">
        <f t="shared" ref="E28:E32" si="13">D28/45.571*100</f>
        <v>89.752254723398664</v>
      </c>
      <c r="F28">
        <f t="shared" si="10"/>
        <v>-10.247745276601336</v>
      </c>
      <c r="G28">
        <f>LN(-F28)</f>
        <v>2.3270577083723012</v>
      </c>
      <c r="P28" s="1"/>
      <c r="Q28" s="1">
        <f>Q27/1000</f>
        <v>15.688518</v>
      </c>
      <c r="R28" s="1" t="s">
        <v>11</v>
      </c>
    </row>
    <row r="29" spans="1:18">
      <c r="A29">
        <v>200</v>
      </c>
      <c r="B29">
        <f t="shared" si="11"/>
        <v>473</v>
      </c>
      <c r="C29">
        <f t="shared" si="12"/>
        <v>2.1141649048625794E-3</v>
      </c>
      <c r="D29">
        <v>27.823</v>
      </c>
      <c r="E29">
        <f t="shared" si="13"/>
        <v>61.054179192907775</v>
      </c>
      <c r="F29">
        <f t="shared" si="10"/>
        <v>-38.945820807092225</v>
      </c>
      <c r="G29">
        <f>LN(-F29)</f>
        <v>3.6621714702081594</v>
      </c>
      <c r="P29" s="13">
        <v>0.63</v>
      </c>
      <c r="Q29" s="14"/>
      <c r="R29" s="14"/>
    </row>
    <row r="30" spans="1:18">
      <c r="A30">
        <v>300</v>
      </c>
      <c r="B30">
        <f t="shared" si="11"/>
        <v>573</v>
      </c>
      <c r="C30">
        <f t="shared" si="12"/>
        <v>1.7452006980802793E-3</v>
      </c>
      <c r="D30">
        <v>17.574000000000002</v>
      </c>
      <c r="E30">
        <f t="shared" si="13"/>
        <v>38.563999034473682</v>
      </c>
      <c r="F30">
        <f t="shared" si="10"/>
        <v>-61.436000965526318</v>
      </c>
      <c r="G30">
        <f>LN(-F30)</f>
        <v>4.1179959982693513</v>
      </c>
      <c r="P30" s="14" t="s">
        <v>8</v>
      </c>
      <c r="Q30" s="14">
        <v>-2409</v>
      </c>
      <c r="R30" s="14"/>
    </row>
    <row r="31" spans="1:18">
      <c r="A31">
        <v>350</v>
      </c>
      <c r="B31">
        <f t="shared" si="11"/>
        <v>623</v>
      </c>
      <c r="C31">
        <f t="shared" si="12"/>
        <v>1.6051364365971107E-3</v>
      </c>
      <c r="D31">
        <v>5.423</v>
      </c>
      <c r="E31">
        <f t="shared" si="13"/>
        <v>11.900111913278181</v>
      </c>
      <c r="F31">
        <f t="shared" si="10"/>
        <v>-88.099888086721819</v>
      </c>
      <c r="G31">
        <f>LN(-F31)</f>
        <v>4.4784712626430503</v>
      </c>
      <c r="P31" s="14" t="s">
        <v>9</v>
      </c>
      <c r="Q31" s="14">
        <f>Q30*-8.314</f>
        <v>20028.425999999999</v>
      </c>
      <c r="R31" s="14" t="s">
        <v>10</v>
      </c>
    </row>
    <row r="32" spans="1:18">
      <c r="A32">
        <v>400</v>
      </c>
      <c r="B32">
        <f t="shared" si="11"/>
        <v>673</v>
      </c>
      <c r="C32">
        <f t="shared" si="12"/>
        <v>1.4858841010401188E-3</v>
      </c>
      <c r="D32">
        <v>0.1</v>
      </c>
      <c r="E32">
        <f t="shared" si="13"/>
        <v>0.21943780035548927</v>
      </c>
      <c r="F32">
        <f t="shared" si="10"/>
        <v>-99.780562199644507</v>
      </c>
      <c r="G32">
        <f>LN(-F32)</f>
        <v>4.6029733968091255</v>
      </c>
      <c r="P32" s="14"/>
      <c r="Q32" s="14">
        <f>Q31/1000</f>
        <v>20.028426</v>
      </c>
      <c r="R32" s="14" t="s">
        <v>11</v>
      </c>
    </row>
    <row r="34" spans="1:7">
      <c r="A34" s="21">
        <v>0.28000000000000003</v>
      </c>
    </row>
    <row r="36" spans="1:7">
      <c r="A36" t="s">
        <v>12</v>
      </c>
      <c r="B36" t="s">
        <v>13</v>
      </c>
      <c r="C36" t="s">
        <v>14</v>
      </c>
      <c r="D36" t="s">
        <v>18</v>
      </c>
      <c r="E36" t="s">
        <v>16</v>
      </c>
      <c r="F36" t="s">
        <v>17</v>
      </c>
      <c r="G36" t="s">
        <v>15</v>
      </c>
    </row>
    <row r="38" spans="1:7">
      <c r="A38">
        <v>50</v>
      </c>
      <c r="B38">
        <f>A38+273</f>
        <v>323</v>
      </c>
      <c r="C38">
        <f>1/B38</f>
        <v>3.0959752321981426E-3</v>
      </c>
      <c r="D38">
        <v>78.852999999999994</v>
      </c>
      <c r="E38">
        <f>D38/78.853*100</f>
        <v>100</v>
      </c>
      <c r="F38">
        <f t="shared" ref="F38:F43" si="14">E38-100</f>
        <v>0</v>
      </c>
      <c r="G38" t="e">
        <f>LN(#REF!)</f>
        <v>#REF!</v>
      </c>
    </row>
    <row r="39" spans="1:7">
      <c r="A39">
        <v>100</v>
      </c>
      <c r="B39">
        <f t="shared" ref="B39:B43" si="15">A39+273</f>
        <v>373</v>
      </c>
      <c r="C39">
        <f t="shared" ref="C39:C43" si="16">1/B39</f>
        <v>2.6809651474530832E-3</v>
      </c>
      <c r="D39">
        <v>72.781000000000006</v>
      </c>
      <c r="E39">
        <f t="shared" ref="E39:E43" si="17">D39/78.853*100</f>
        <v>92.299595449760957</v>
      </c>
      <c r="F39">
        <f t="shared" si="14"/>
        <v>-7.7004045502390426</v>
      </c>
      <c r="G39">
        <f>LN(-F39)</f>
        <v>2.0412728664715969</v>
      </c>
    </row>
    <row r="40" spans="1:7">
      <c r="A40">
        <v>200</v>
      </c>
      <c r="B40">
        <f t="shared" si="15"/>
        <v>473</v>
      </c>
      <c r="C40">
        <f t="shared" si="16"/>
        <v>2.1141649048625794E-3</v>
      </c>
      <c r="D40">
        <v>55.814</v>
      </c>
      <c r="E40">
        <f t="shared" si="17"/>
        <v>70.782341825929265</v>
      </c>
      <c r="F40">
        <f t="shared" si="14"/>
        <v>-29.217658174070735</v>
      </c>
      <c r="G40">
        <f t="shared" ref="G40:G43" si="18">LN(-F40)</f>
        <v>3.3747732584862544</v>
      </c>
    </row>
    <row r="41" spans="1:7">
      <c r="A41">
        <v>300</v>
      </c>
      <c r="B41">
        <f t="shared" si="15"/>
        <v>573</v>
      </c>
      <c r="C41">
        <f t="shared" si="16"/>
        <v>1.7452006980802793E-3</v>
      </c>
      <c r="D41">
        <v>18.965</v>
      </c>
      <c r="E41">
        <f t="shared" si="17"/>
        <v>24.051082393821417</v>
      </c>
      <c r="F41">
        <f t="shared" si="14"/>
        <v>-75.948917606178583</v>
      </c>
      <c r="G41">
        <f t="shared" si="18"/>
        <v>4.3300609775403425</v>
      </c>
    </row>
    <row r="42" spans="1:7">
      <c r="A42">
        <v>350</v>
      </c>
      <c r="B42">
        <f t="shared" si="15"/>
        <v>623</v>
      </c>
      <c r="C42">
        <f t="shared" si="16"/>
        <v>1.6051364365971107E-3</v>
      </c>
      <c r="D42">
        <v>5.1360000000000001</v>
      </c>
      <c r="E42">
        <f t="shared" si="17"/>
        <v>6.5133856670006223</v>
      </c>
      <c r="F42">
        <f t="shared" si="14"/>
        <v>-93.48661433299938</v>
      </c>
      <c r="G42">
        <f t="shared" si="18"/>
        <v>4.537818263832043</v>
      </c>
    </row>
    <row r="43" spans="1:7">
      <c r="A43">
        <v>400</v>
      </c>
      <c r="B43">
        <f t="shared" si="15"/>
        <v>673</v>
      </c>
      <c r="C43">
        <f t="shared" si="16"/>
        <v>1.4858841010401188E-3</v>
      </c>
      <c r="D43">
        <v>3.5000000000000003E-2</v>
      </c>
      <c r="E43">
        <f t="shared" si="17"/>
        <v>4.4386389864684926E-2</v>
      </c>
      <c r="F43">
        <f t="shared" si="14"/>
        <v>-99.955613610135316</v>
      </c>
      <c r="G43">
        <f t="shared" si="18"/>
        <v>4.6047262235527056</v>
      </c>
    </row>
    <row r="45" spans="1:7">
      <c r="A45" s="15">
        <v>0.36</v>
      </c>
    </row>
    <row r="47" spans="1:7">
      <c r="A47" t="s">
        <v>12</v>
      </c>
      <c r="B47" t="s">
        <v>13</v>
      </c>
      <c r="C47" t="s">
        <v>14</v>
      </c>
      <c r="D47" t="s">
        <v>18</v>
      </c>
      <c r="E47" t="s">
        <v>16</v>
      </c>
      <c r="F47" t="s">
        <v>17</v>
      </c>
      <c r="G47" t="s">
        <v>15</v>
      </c>
    </row>
    <row r="49" spans="1:7">
      <c r="A49">
        <v>50</v>
      </c>
      <c r="B49">
        <f>A49+273</f>
        <v>323</v>
      </c>
      <c r="C49">
        <f>1/B49</f>
        <v>3.0959752321981426E-3</v>
      </c>
      <c r="D49">
        <v>39.838000000000001</v>
      </c>
      <c r="E49">
        <f>D49/39.838*100</f>
        <v>100</v>
      </c>
      <c r="F49">
        <f t="shared" ref="F49:F54" si="19">E49-100</f>
        <v>0</v>
      </c>
      <c r="G49" t="e">
        <f>LN(#REF!)</f>
        <v>#REF!</v>
      </c>
    </row>
    <row r="50" spans="1:7">
      <c r="A50">
        <v>100</v>
      </c>
      <c r="B50">
        <f t="shared" ref="B50:B54" si="20">A50+273</f>
        <v>373</v>
      </c>
      <c r="C50">
        <f t="shared" ref="C50:C54" si="21">1/B50</f>
        <v>2.6809651474530832E-3</v>
      </c>
      <c r="D50">
        <v>36.863999999999997</v>
      </c>
      <c r="E50">
        <f t="shared" ref="E50:E54" si="22">D50/39.838*100</f>
        <v>92.53476580149605</v>
      </c>
      <c r="F50">
        <f t="shared" si="19"/>
        <v>-7.4652341985039499</v>
      </c>
      <c r="G50">
        <f>LN(-F50)</f>
        <v>2.010256803372974</v>
      </c>
    </row>
    <row r="51" spans="1:7">
      <c r="A51">
        <v>200</v>
      </c>
      <c r="B51">
        <f t="shared" si="20"/>
        <v>473</v>
      </c>
      <c r="C51">
        <f t="shared" si="21"/>
        <v>2.1141649048625794E-3</v>
      </c>
      <c r="D51">
        <v>26.428999999999998</v>
      </c>
      <c r="E51">
        <f t="shared" si="22"/>
        <v>66.341181786234245</v>
      </c>
      <c r="F51">
        <f t="shared" si="19"/>
        <v>-33.658818213765755</v>
      </c>
      <c r="G51">
        <f t="shared" ref="G51:G54" si="23">LN(-F51)</f>
        <v>3.5162750786325145</v>
      </c>
    </row>
    <row r="52" spans="1:7">
      <c r="A52">
        <v>300</v>
      </c>
      <c r="B52">
        <f t="shared" si="20"/>
        <v>573</v>
      </c>
      <c r="C52">
        <f t="shared" si="21"/>
        <v>1.7452006980802793E-3</v>
      </c>
      <c r="D52">
        <v>12.858000000000001</v>
      </c>
      <c r="E52">
        <f t="shared" si="22"/>
        <v>32.275716652442391</v>
      </c>
      <c r="F52">
        <f t="shared" si="19"/>
        <v>-67.724283347557616</v>
      </c>
      <c r="G52">
        <f t="shared" si="23"/>
        <v>4.2154448061146192</v>
      </c>
    </row>
    <row r="53" spans="1:7">
      <c r="A53">
        <v>350</v>
      </c>
      <c r="B53">
        <f t="shared" si="20"/>
        <v>623</v>
      </c>
      <c r="C53">
        <f t="shared" si="21"/>
        <v>1.6051364365971107E-3</v>
      </c>
      <c r="D53">
        <v>4.5369999999999999</v>
      </c>
      <c r="E53">
        <f t="shared" si="22"/>
        <v>11.388623926903961</v>
      </c>
      <c r="F53">
        <f t="shared" si="19"/>
        <v>-88.611376073096039</v>
      </c>
      <c r="G53">
        <f t="shared" si="23"/>
        <v>4.4842602474849107</v>
      </c>
    </row>
    <row r="54" spans="1:7">
      <c r="A54">
        <v>400</v>
      </c>
      <c r="B54">
        <f t="shared" si="20"/>
        <v>673</v>
      </c>
      <c r="C54">
        <f t="shared" si="21"/>
        <v>1.4858841010401188E-3</v>
      </c>
      <c r="D54">
        <v>0.14000000000000001</v>
      </c>
      <c r="E54">
        <f t="shared" si="22"/>
        <v>0.3514232642200914</v>
      </c>
      <c r="F54">
        <f t="shared" si="19"/>
        <v>-99.648576735779912</v>
      </c>
      <c r="G54">
        <f t="shared" si="23"/>
        <v>4.601649763925395</v>
      </c>
    </row>
    <row r="56" spans="1:7">
      <c r="A56" s="19">
        <v>0.56000000000000005</v>
      </c>
    </row>
    <row r="58" spans="1:7">
      <c r="A58" t="s">
        <v>12</v>
      </c>
      <c r="B58" t="s">
        <v>13</v>
      </c>
      <c r="C58" t="s">
        <v>14</v>
      </c>
      <c r="D58" t="s">
        <v>18</v>
      </c>
      <c r="E58" t="s">
        <v>16</v>
      </c>
      <c r="F58" t="s">
        <v>17</v>
      </c>
      <c r="G58" t="s">
        <v>15</v>
      </c>
    </row>
    <row r="60" spans="1:7">
      <c r="A60">
        <v>50</v>
      </c>
      <c r="B60">
        <f>A60+273</f>
        <v>323</v>
      </c>
      <c r="C60">
        <f>1/B60</f>
        <v>3.0959752321981426E-3</v>
      </c>
      <c r="D60">
        <v>46.305</v>
      </c>
      <c r="E60">
        <f>D60/46.305*100</f>
        <v>100</v>
      </c>
      <c r="F60">
        <f t="shared" ref="F60:F65" si="24">E60-100</f>
        <v>0</v>
      </c>
      <c r="G60" t="e">
        <f>LN(#REF!)</f>
        <v>#REF!</v>
      </c>
    </row>
    <row r="61" spans="1:7">
      <c r="A61">
        <v>100</v>
      </c>
      <c r="B61">
        <f t="shared" ref="B61:B65" si="25">A61+273</f>
        <v>373</v>
      </c>
      <c r="C61">
        <f t="shared" ref="C61:C65" si="26">1/B61</f>
        <v>2.6809651474530832E-3</v>
      </c>
      <c r="D61">
        <v>41.402999999999999</v>
      </c>
      <c r="E61">
        <f t="shared" ref="E61:E65" si="27">D61/46.305*100</f>
        <v>89.413670229996754</v>
      </c>
      <c r="F61">
        <f t="shared" si="24"/>
        <v>-10.586329770003246</v>
      </c>
      <c r="G61">
        <f>LN(-F61)</f>
        <v>2.3595635244717807</v>
      </c>
    </row>
    <row r="62" spans="1:7">
      <c r="A62">
        <v>200</v>
      </c>
      <c r="B62">
        <f t="shared" si="25"/>
        <v>473</v>
      </c>
      <c r="C62">
        <f t="shared" si="26"/>
        <v>2.1141649048625794E-3</v>
      </c>
      <c r="D62">
        <v>27.263999999999999</v>
      </c>
      <c r="E62">
        <f t="shared" si="27"/>
        <v>58.879170715905403</v>
      </c>
      <c r="F62">
        <f t="shared" si="24"/>
        <v>-41.120829284094597</v>
      </c>
      <c r="G62">
        <f t="shared" ref="G62:G65" si="28">LN(-F62)</f>
        <v>3.7165147883583018</v>
      </c>
    </row>
    <row r="63" spans="1:7">
      <c r="A63">
        <v>300</v>
      </c>
      <c r="B63">
        <f t="shared" si="25"/>
        <v>573</v>
      </c>
      <c r="C63">
        <f t="shared" si="26"/>
        <v>1.7452006980802793E-3</v>
      </c>
      <c r="D63">
        <v>16.248999999999999</v>
      </c>
      <c r="E63">
        <f t="shared" si="27"/>
        <v>35.091242846344883</v>
      </c>
      <c r="F63">
        <f t="shared" si="24"/>
        <v>-64.908757153655117</v>
      </c>
      <c r="G63">
        <f t="shared" si="28"/>
        <v>4.1729825476375266</v>
      </c>
    </row>
    <row r="64" spans="1:7">
      <c r="A64">
        <v>350</v>
      </c>
      <c r="B64">
        <f t="shared" si="25"/>
        <v>623</v>
      </c>
      <c r="C64">
        <f t="shared" si="26"/>
        <v>1.6051364365971107E-3</v>
      </c>
      <c r="D64">
        <v>2.798</v>
      </c>
      <c r="E64">
        <f t="shared" si="27"/>
        <v>6.0425440017276753</v>
      </c>
      <c r="F64">
        <f t="shared" si="24"/>
        <v>-93.957455998272323</v>
      </c>
      <c r="G64">
        <f t="shared" si="28"/>
        <v>4.5428420840545671</v>
      </c>
    </row>
    <row r="65" spans="1:7">
      <c r="A65">
        <v>400</v>
      </c>
      <c r="B65">
        <f t="shared" si="25"/>
        <v>673</v>
      </c>
      <c r="C65">
        <f t="shared" si="26"/>
        <v>1.4858841010401188E-3</v>
      </c>
      <c r="D65">
        <v>0</v>
      </c>
      <c r="E65">
        <f t="shared" si="27"/>
        <v>0</v>
      </c>
      <c r="F65">
        <f t="shared" si="24"/>
        <v>-100</v>
      </c>
      <c r="G65">
        <f t="shared" si="28"/>
        <v>4.6051701859880918</v>
      </c>
    </row>
    <row r="67" spans="1:7">
      <c r="A67" s="22">
        <v>0.63</v>
      </c>
    </row>
    <row r="69" spans="1:7">
      <c r="A69" t="s">
        <v>12</v>
      </c>
      <c r="B69" t="s">
        <v>13</v>
      </c>
      <c r="C69" t="s">
        <v>14</v>
      </c>
      <c r="D69" t="s">
        <v>18</v>
      </c>
      <c r="E69" t="s">
        <v>16</v>
      </c>
      <c r="F69" t="s">
        <v>17</v>
      </c>
      <c r="G69" t="s">
        <v>15</v>
      </c>
    </row>
    <row r="71" spans="1:7">
      <c r="A71">
        <v>50</v>
      </c>
      <c r="B71">
        <f>A71+273</f>
        <v>323</v>
      </c>
      <c r="C71">
        <f>1/B71</f>
        <v>3.0959752321981426E-3</v>
      </c>
      <c r="D71">
        <v>26.995000000000001</v>
      </c>
      <c r="E71">
        <f>D71/26.995*100</f>
        <v>100</v>
      </c>
      <c r="F71">
        <f t="shared" ref="F71:F76" si="29">E71-100</f>
        <v>0</v>
      </c>
      <c r="G71" t="e">
        <f>LN(#REF!)</f>
        <v>#REF!</v>
      </c>
    </row>
    <row r="72" spans="1:7">
      <c r="A72">
        <v>100</v>
      </c>
      <c r="B72">
        <f t="shared" ref="B72:B76" si="30">A72+273</f>
        <v>373</v>
      </c>
      <c r="C72">
        <f t="shared" ref="C72:C76" si="31">1/B72</f>
        <v>2.6809651474530832E-3</v>
      </c>
      <c r="D72">
        <v>25.32</v>
      </c>
      <c r="E72">
        <f t="shared" ref="E72:E76" si="32">D72/26.995*100</f>
        <v>93.79514724949064</v>
      </c>
      <c r="F72">
        <f t="shared" si="29"/>
        <v>-6.2048527505093602</v>
      </c>
      <c r="G72">
        <f>LN(-F72)</f>
        <v>1.825331687594872</v>
      </c>
    </row>
    <row r="73" spans="1:7">
      <c r="A73">
        <v>200</v>
      </c>
      <c r="B73">
        <f t="shared" si="30"/>
        <v>473</v>
      </c>
      <c r="C73">
        <f t="shared" si="31"/>
        <v>2.1141649048625794E-3</v>
      </c>
      <c r="D73">
        <v>23.292000000000002</v>
      </c>
      <c r="E73">
        <f t="shared" si="32"/>
        <v>86.282644934247088</v>
      </c>
      <c r="F73">
        <f t="shared" si="29"/>
        <v>-13.717355065752912</v>
      </c>
      <c r="G73">
        <f t="shared" ref="G73:G76" si="33">LN(-F73)</f>
        <v>2.6186618242493163</v>
      </c>
    </row>
    <row r="74" spans="1:7">
      <c r="A74">
        <v>300</v>
      </c>
      <c r="B74">
        <f t="shared" si="30"/>
        <v>573</v>
      </c>
      <c r="C74">
        <f t="shared" si="31"/>
        <v>1.7452006980802793E-3</v>
      </c>
      <c r="D74">
        <v>16.600000000000001</v>
      </c>
      <c r="E74">
        <f t="shared" si="32"/>
        <v>61.492869049824037</v>
      </c>
      <c r="F74">
        <f t="shared" si="29"/>
        <v>-38.507130950175963</v>
      </c>
      <c r="G74">
        <f t="shared" si="33"/>
        <v>3.6508434436278172</v>
      </c>
    </row>
    <row r="75" spans="1:7">
      <c r="A75">
        <v>350</v>
      </c>
      <c r="B75">
        <f t="shared" si="30"/>
        <v>623</v>
      </c>
      <c r="C75">
        <f t="shared" si="31"/>
        <v>1.6051364365971107E-3</v>
      </c>
      <c r="D75">
        <v>2.9510000000000001</v>
      </c>
      <c r="E75">
        <f t="shared" si="32"/>
        <v>10.931654010001852</v>
      </c>
      <c r="F75">
        <f t="shared" si="29"/>
        <v>-89.06834598999815</v>
      </c>
      <c r="G75">
        <f t="shared" si="33"/>
        <v>4.4894040074947563</v>
      </c>
    </row>
    <row r="76" spans="1:7">
      <c r="A76">
        <v>400</v>
      </c>
      <c r="B76">
        <f t="shared" si="30"/>
        <v>673</v>
      </c>
      <c r="C76">
        <f t="shared" si="31"/>
        <v>1.4858841010401188E-3</v>
      </c>
      <c r="D76">
        <v>0.6</v>
      </c>
      <c r="E76">
        <f t="shared" si="32"/>
        <v>2.2226338210779772</v>
      </c>
      <c r="F76">
        <f t="shared" si="29"/>
        <v>-97.777366178922023</v>
      </c>
      <c r="G76">
        <f t="shared" si="33"/>
        <v>4.5826931205934205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areas vs temp</vt:lpstr>
      <vt:lpstr>Activation energy</vt:lpstr>
      <vt:lpstr>'areas vs temp'!peak_area_vs_temp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2016-10-05T19:39:21Z</dcterms:modified>
</cp:coreProperties>
</file>